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980" windowHeight="13050" activeTab="4"/>
  </bookViews>
  <sheets>
    <sheet name="SubS" sheetId="2" r:id="rId1"/>
    <sheet name="Surface" sheetId="1" r:id="rId2"/>
    <sheet name="Summary" sheetId="3" r:id="rId3"/>
    <sheet name="Dist Chart" sheetId="6" r:id="rId4"/>
    <sheet name="readme" sheetId="5" r:id="rId5"/>
  </sheets>
  <calcPr calcId="145621"/>
</workbook>
</file>

<file path=xl/calcChain.xml><?xml version="1.0" encoding="utf-8"?>
<calcChain xmlns="http://schemas.openxmlformats.org/spreadsheetml/2006/main">
  <c r="H18" i="3" l="1"/>
  <c r="H17" i="3"/>
  <c r="H16" i="3"/>
  <c r="D14" i="3"/>
  <c r="E14" i="3"/>
  <c r="F14" i="3"/>
  <c r="G14" i="3"/>
  <c r="G40" i="2" l="1"/>
  <c r="G39" i="2"/>
  <c r="G38" i="2"/>
  <c r="G37" i="2"/>
  <c r="F40" i="2"/>
  <c r="F39" i="2"/>
  <c r="F38" i="2"/>
  <c r="F37" i="2"/>
  <c r="G36" i="2"/>
  <c r="F36" i="2"/>
  <c r="AE13" i="2"/>
  <c r="AF13" i="2" s="1"/>
  <c r="AE12" i="2"/>
  <c r="AF12" i="2" s="1"/>
  <c r="AE11" i="2"/>
  <c r="AF11" i="2" s="1"/>
  <c r="AE10" i="2"/>
  <c r="AF10" i="2" s="1"/>
  <c r="AF9" i="2"/>
  <c r="AE9" i="2"/>
  <c r="AE8" i="2"/>
  <c r="AH3" i="2"/>
  <c r="H36" i="2" l="1"/>
  <c r="AE14" i="2" s="1"/>
  <c r="AF14" i="2" s="1"/>
  <c r="AF8" i="2"/>
  <c r="AG8" i="2" l="1"/>
  <c r="AG9" i="2" l="1"/>
  <c r="AG10" i="2" l="1"/>
  <c r="AG11" i="2" l="1"/>
  <c r="AG12" i="2" l="1"/>
  <c r="AG13" i="2" l="1"/>
  <c r="AG14" i="2" l="1"/>
  <c r="H42" i="2" l="1"/>
  <c r="AF4" i="2" s="1"/>
  <c r="D41" i="2"/>
  <c r="C41" i="2"/>
  <c r="G41" i="2" s="1"/>
  <c r="H40" i="2"/>
  <c r="AE26" i="2" s="1"/>
  <c r="H39" i="2"/>
  <c r="AE17" i="2" s="1"/>
  <c r="AF17" i="2" s="1"/>
  <c r="H38" i="2"/>
  <c r="AE16" i="2" s="1"/>
  <c r="AF16" i="2" s="1"/>
  <c r="H37" i="2"/>
  <c r="AE15" i="2" s="1"/>
  <c r="AF15" i="2" s="1"/>
  <c r="AG15" i="2" s="1"/>
  <c r="I34" i="2"/>
  <c r="I35" i="2" s="1"/>
  <c r="I36" i="2" s="1"/>
  <c r="I37" i="2" s="1"/>
  <c r="I38" i="2" s="1"/>
  <c r="D24" i="2"/>
  <c r="C24" i="2"/>
  <c r="E19" i="2"/>
  <c r="E18" i="2"/>
  <c r="E17" i="2"/>
  <c r="E16" i="2"/>
  <c r="E15" i="2"/>
  <c r="E14" i="2"/>
  <c r="AG17" i="2" l="1"/>
  <c r="E24" i="2"/>
  <c r="I39" i="2"/>
  <c r="AG16" i="2"/>
  <c r="F41" i="2"/>
  <c r="H41" i="2"/>
  <c r="H45" i="2" s="1"/>
  <c r="I40" i="2"/>
  <c r="I41" i="2" s="1"/>
  <c r="AF2" i="2"/>
  <c r="AF26" i="2"/>
  <c r="AF27" i="2" s="1"/>
  <c r="AE27" i="2"/>
  <c r="V14" i="1"/>
  <c r="O14" i="1"/>
  <c r="O15" i="1" s="1"/>
  <c r="O16" i="1" s="1"/>
  <c r="O17" i="1" s="1"/>
  <c r="O18" i="1" s="1"/>
  <c r="O19" i="1" s="1"/>
  <c r="O20" i="1" s="1"/>
  <c r="H14" i="1"/>
  <c r="H15" i="1" s="1"/>
  <c r="H16" i="1" s="1"/>
  <c r="H17" i="1" s="1"/>
  <c r="H18" i="1" s="1"/>
  <c r="H19" i="1" s="1"/>
  <c r="H20" i="1" s="1"/>
  <c r="W13" i="1"/>
  <c r="V12" i="1"/>
  <c r="T47" i="1" s="1"/>
  <c r="O12" i="1"/>
  <c r="M47" i="1" s="1"/>
  <c r="H12" i="1"/>
  <c r="F47" i="1" s="1"/>
  <c r="AH8" i="2" l="1"/>
  <c r="AK8" i="2" s="1"/>
  <c r="AH9" i="2"/>
  <c r="AK9" i="2" s="1"/>
  <c r="AH10" i="2"/>
  <c r="AK10" i="2" s="1"/>
  <c r="AH11" i="2"/>
  <c r="AK11" i="2" s="1"/>
  <c r="AH12" i="2"/>
  <c r="AK12" i="2" s="1"/>
  <c r="AH13" i="2"/>
  <c r="AK13" i="2" s="1"/>
  <c r="AH14" i="2"/>
  <c r="AK14" i="2" s="1"/>
  <c r="AH15" i="2"/>
  <c r="AK15" i="2" s="1"/>
  <c r="AH16" i="2"/>
  <c r="AK16" i="2" s="1"/>
  <c r="AH17" i="2"/>
  <c r="W14" i="1"/>
  <c r="M40" i="1"/>
  <c r="E8" i="3" s="1"/>
  <c r="O21" i="1"/>
  <c r="O22" i="1" s="1"/>
  <c r="O23" i="1" s="1"/>
  <c r="O24" i="1" s="1"/>
  <c r="O25" i="1" s="1"/>
  <c r="O26" i="1" s="1"/>
  <c r="O27" i="1" s="1"/>
  <c r="O28" i="1" s="1"/>
  <c r="F40" i="1"/>
  <c r="D8" i="3" s="1"/>
  <c r="H21" i="1"/>
  <c r="H22" i="1" s="1"/>
  <c r="H23" i="1" s="1"/>
  <c r="H24" i="1" s="1"/>
  <c r="H25" i="1" s="1"/>
  <c r="H26" i="1" s="1"/>
  <c r="W47" i="1"/>
  <c r="V15" i="1"/>
  <c r="AJ25" i="2" l="1"/>
  <c r="AK25" i="2" s="1"/>
  <c r="AE38" i="2" s="1"/>
  <c r="AJ17" i="2"/>
  <c r="AJ18" i="2"/>
  <c r="AK18" i="2" s="1"/>
  <c r="AJ19" i="2"/>
  <c r="AK19" i="2" s="1"/>
  <c r="AJ20" i="2"/>
  <c r="AK20" i="2" s="1"/>
  <c r="AJ23" i="2"/>
  <c r="AK23" i="2" s="1"/>
  <c r="AJ24" i="2"/>
  <c r="AK24" i="2" s="1"/>
  <c r="AK17" i="2"/>
  <c r="AJ21" i="2"/>
  <c r="AK21" i="2" s="1"/>
  <c r="AJ22" i="2"/>
  <c r="AK22" i="2" s="1"/>
  <c r="AE32" i="2"/>
  <c r="H10" i="3" s="1"/>
  <c r="AE31" i="2"/>
  <c r="H9" i="3" s="1"/>
  <c r="AE30" i="2"/>
  <c r="H8" i="3" s="1"/>
  <c r="AE33" i="2"/>
  <c r="H11" i="3" s="1"/>
  <c r="M42" i="1"/>
  <c r="E10" i="3" s="1"/>
  <c r="F42" i="1"/>
  <c r="D10" i="3" s="1"/>
  <c r="F41" i="1"/>
  <c r="D9" i="3" s="1"/>
  <c r="W15" i="1"/>
  <c r="V16" i="1"/>
  <c r="H27" i="1"/>
  <c r="F43" i="1"/>
  <c r="D11" i="3" s="1"/>
  <c r="M41" i="1"/>
  <c r="E9" i="3" s="1"/>
  <c r="M43" i="1"/>
  <c r="E11" i="3" s="1"/>
  <c r="AE37" i="2" l="1"/>
  <c r="AE36" i="2"/>
  <c r="AE35" i="2"/>
  <c r="H13" i="3" s="1"/>
  <c r="M45" i="1"/>
  <c r="E13" i="3" s="1"/>
  <c r="F45" i="1"/>
  <c r="D13" i="3" s="1"/>
  <c r="W16" i="1"/>
  <c r="V17" i="1"/>
  <c r="H28" i="1"/>
  <c r="W17" i="1" l="1"/>
  <c r="V18" i="1"/>
  <c r="W18" i="1" l="1"/>
  <c r="V19" i="1"/>
  <c r="W19" i="1" l="1"/>
  <c r="V20" i="1"/>
  <c r="W20" i="1" l="1"/>
  <c r="V21" i="1"/>
  <c r="W21" i="1" l="1"/>
  <c r="V22" i="1"/>
  <c r="W40" i="1"/>
  <c r="G8" i="3" s="1"/>
  <c r="W22" i="1" l="1"/>
  <c r="V23" i="1"/>
  <c r="W23" i="1" l="1"/>
  <c r="V24" i="1"/>
  <c r="W24" i="1" l="1"/>
  <c r="V25" i="1"/>
  <c r="T40" i="1"/>
  <c r="F8" i="3" s="1"/>
  <c r="T41" i="1"/>
  <c r="F9" i="3" s="1"/>
  <c r="W25" i="1" l="1"/>
  <c r="V26" i="1"/>
  <c r="W42" i="1"/>
  <c r="G10" i="3" s="1"/>
  <c r="W41" i="1"/>
  <c r="G9" i="3" s="1"/>
  <c r="V27" i="1" l="1"/>
  <c r="W26" i="1"/>
  <c r="W43" i="1" s="1"/>
  <c r="G11" i="3" s="1"/>
  <c r="T43" i="1"/>
  <c r="F11" i="3" s="1"/>
  <c r="T42" i="1"/>
  <c r="F10" i="3" s="1"/>
  <c r="W45" i="1"/>
  <c r="G13" i="3" s="1"/>
  <c r="T45" i="1" l="1"/>
  <c r="F13" i="3" s="1"/>
  <c r="V28" i="1"/>
  <c r="W28" i="1" s="1"/>
  <c r="W27" i="1"/>
</calcChain>
</file>

<file path=xl/sharedStrings.xml><?xml version="1.0" encoding="utf-8"?>
<sst xmlns="http://schemas.openxmlformats.org/spreadsheetml/2006/main" count="198" uniqueCount="151">
  <si>
    <t>Pebble Count Data Sheet</t>
  </si>
  <si>
    <t>River / Tributary:</t>
  </si>
  <si>
    <t>Yentna River</t>
  </si>
  <si>
    <t>Crew:</t>
  </si>
  <si>
    <t>RK, BT, AK, RV</t>
  </si>
  <si>
    <t>Field sheet left blank</t>
  </si>
  <si>
    <t xml:space="preserve">  Crew:</t>
  </si>
  <si>
    <t xml:space="preserve">Site: </t>
  </si>
  <si>
    <t>YN 1</t>
  </si>
  <si>
    <t xml:space="preserve">PRM: </t>
  </si>
  <si>
    <t xml:space="preserve">  PRM: </t>
  </si>
  <si>
    <t>Date / Time:</t>
  </si>
  <si>
    <t>Length &amp; Interval:</t>
  </si>
  <si>
    <t>100' Length, 1' interval</t>
  </si>
  <si>
    <t>Field Book #</t>
  </si>
  <si>
    <t>Comments:</t>
  </si>
  <si>
    <t>Waypoint(s):</t>
  </si>
  <si>
    <t>GPS 1</t>
  </si>
  <si>
    <t>Additional Comments</t>
  </si>
  <si>
    <t>Photo(s) #</t>
  </si>
  <si>
    <t>RAV Camera, 227, 230, 231, 232</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</si>
  <si>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</si>
  <si>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</si>
  <si>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</si>
  <si>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</si>
  <si>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</si>
  <si>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</si>
  <si>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</si>
  <si>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</si>
  <si>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</si>
  <si>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</si>
  <si>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</si>
  <si>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</si>
  <si>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</si>
  <si>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</si>
  <si>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</si>
  <si>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</si>
  <si>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Page _____ of ______</t>
  </si>
  <si>
    <t>Page _1____ of ___1___</t>
  </si>
  <si>
    <t>Average</t>
  </si>
  <si>
    <t>D%</t>
  </si>
  <si>
    <t>Gr</t>
  </si>
  <si>
    <t>%Sand</t>
  </si>
  <si>
    <t>RAV</t>
  </si>
  <si>
    <t>235, 236</t>
  </si>
  <si>
    <t>Field Sieve Data Sheet</t>
  </si>
  <si>
    <t>River:</t>
  </si>
  <si>
    <t>Yentna</t>
  </si>
  <si>
    <t>BT, RK, RV, AK</t>
  </si>
  <si>
    <t xml:space="preserve">  PRM:</t>
  </si>
  <si>
    <t xml:space="preserve">  Comments:</t>
  </si>
  <si>
    <t>Head of island complex on dry side channel head</t>
  </si>
  <si>
    <t>Sample Location:</t>
  </si>
  <si>
    <t>YN1</t>
  </si>
  <si>
    <t>on left bank of mc</t>
  </si>
  <si>
    <t>Surface/Sub     Subsurface       Bank      Trib Fan      Trib Chan</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</si>
  <si>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</si>
  <si>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</si>
  <si>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</si>
  <si>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</si>
  <si>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</si>
  <si>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</si>
  <si>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</si>
  <si>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</si>
  <si>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</si>
  <si>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</si>
  <si>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</si>
  <si>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0.6-0.8</t>
  </si>
  <si>
    <t>Col 3 - Col 2</t>
  </si>
  <si>
    <t>Wt of the Sample (lbs)</t>
  </si>
  <si>
    <t xml:space="preserve">  </t>
  </si>
  <si>
    <t>Number</t>
  </si>
  <si>
    <t>RAV camera</t>
  </si>
  <si>
    <t>Sample location</t>
  </si>
  <si>
    <t>View D/S</t>
  </si>
  <si>
    <t>Sample hole</t>
  </si>
  <si>
    <t>View U/S</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</si>
  <si>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</si>
  <si>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</si>
  <si>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</si>
  <si>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</si>
  <si>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</si>
  <si>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</si>
  <si>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</si>
  <si>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</si>
  <si>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</si>
  <si>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</si>
  <si>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</si>
  <si>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</si>
  <si>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</si>
  <si>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</si>
  <si>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</si>
  <si>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</si>
  <si>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</si>
  <si>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</si>
  <si>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</si>
  <si>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</si>
  <si>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</si>
  <si>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</si>
  <si>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</si>
  <si>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</si>
  <si>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</si>
  <si>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water weight</t>
  </si>
  <si>
    <t xml:space="preserve">3.5 IBS </t>
  </si>
  <si>
    <t>Subsample    minus 16</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</si>
  <si>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</si>
  <si>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</si>
  <si>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</si>
  <si>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</si>
  <si>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</si>
  <si>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</si>
  <si>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</si>
  <si>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</si>
  <si>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</si>
  <si>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</si>
  <si>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</si>
  <si>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</si>
  <si>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</si>
  <si>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</si>
  <si>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</si>
  <si>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</si>
  <si>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</si>
  <si>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</si>
  <si>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</si>
  <si>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</si>
  <si>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</si>
  <si>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</si>
  <si>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</si>
  <si>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%Gravel</t>
  </si>
  <si>
    <t>%Silt/Clay</t>
  </si>
  <si>
    <t>without water</t>
  </si>
  <si>
    <t>449.7-445.4</t>
  </si>
  <si>
    <t>449.7</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</si>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</sst>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b/>
      <sz val="14"/>
      <color theme="1"/>
      <name val="Arial"/>
      <family val="2"/>
    </font>
    <font>
      <sz val="13.75"/>
      <color rgb="FF000000"/>
      <name val="Arial"/>
      <family val="2"/>
    </font>
    <font>
      <u/>
      <sz val="11"/>
      <color theme="1"/>
      <name val="Arial"/>
      <family val="2"/>
    </font>
    <font>
      <u/>
      <sz val="9"/>
      <color theme="1"/>
      <name val="Arial"/>
      <family val="2"/>
    </font>
    <font>
      <sz val="14"/>
      <color theme="1"/>
      <name val="Arial"/>
      <family val="2"/>
    </font>
    <font>
      <sz val="11"/>
      <color theme="1"/>
      <name val="Calibri"/>
      <family val="2"/>
      <scheme val="minor"/>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2" fillId="0" borderId="0" applyFont="0" applyFill="0" applyBorder="0" applyAlignment="0" applyProtection="0"/>
  </cellStyleXfs>
  <cellXfs count="188">
    <xf numFmtId="0" fontId="0" fillId="0" borderId="0" xfId="0"/>
    <xf numFmtId="0" fontId="0" fillId="0" borderId="0" xfId="0"/>
    <xf numFmtId="0" fontId="1" fillId="0" borderId="0" xfId="0" applyFont="1"/>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3" fillId="0" borderId="0" xfId="0" applyFont="1" applyAlignment="1"/>
    <xf numFmtId="0" fontId="1" fillId="0" borderId="1" xfId="0" applyFont="1" applyBorder="1"/>
    <xf numFmtId="0" fontId="1" fillId="0" borderId="0" xfId="0" applyFont="1" applyBorder="1"/>
    <xf numFmtId="0" fontId="1" fillId="0" borderId="2"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0" xfId="0" applyFont="1" applyFill="1" applyBorder="1"/>
    <xf numFmtId="0" fontId="1" fillId="0" borderId="10" xfId="0" applyFont="1" applyFill="1" applyBorder="1" applyAlignment="1">
      <alignment vertical="center" wrapText="1"/>
    </xf>
    <xf numFmtId="0" fontId="1" fillId="0" borderId="10" xfId="0" applyFont="1" applyFill="1" applyBorder="1"/>
    <xf numFmtId="0" fontId="2" fillId="0" borderId="0" xfId="0" applyFont="1" applyFill="1" applyBorder="1"/>
    <xf numFmtId="0" fontId="1" fillId="0" borderId="0" xfId="0" applyFont="1" applyFill="1" applyBorder="1" applyAlignment="1">
      <alignment horizontal="center"/>
    </xf>
    <xf numFmtId="0" fontId="9" fillId="0" borderId="16" xfId="0" applyFont="1" applyFill="1" applyBorder="1" applyAlignment="1"/>
    <xf numFmtId="0" fontId="9" fillId="0" borderId="5" xfId="0" applyFont="1" applyFill="1" applyBorder="1" applyAlignment="1"/>
    <xf numFmtId="0" fontId="9" fillId="0" borderId="0" xfId="0" applyFont="1" applyFill="1" applyBorder="1" applyAlignment="1"/>
    <xf numFmtId="0" fontId="9" fillId="0" borderId="19" xfId="0" applyFont="1" applyFill="1" applyBorder="1" applyAlignment="1"/>
    <xf numFmtId="0" fontId="9" fillId="0" borderId="9" xfId="0" applyFont="1" applyFill="1" applyBorder="1" applyAlignment="1"/>
    <xf numFmtId="0" fontId="9" fillId="0" borderId="22" xfId="0" applyFont="1" applyFill="1" applyBorder="1" applyAlignment="1"/>
    <xf numFmtId="0" fontId="9" fillId="0" borderId="14" xfId="0" applyFont="1" applyFill="1" applyBorder="1" applyAlignment="1"/>
    <xf numFmtId="0" fontId="9" fillId="0" borderId="23" xfId="0" applyFont="1" applyFill="1" applyBorder="1" applyAlignment="1"/>
    <xf numFmtId="0" fontId="9" fillId="0" borderId="24" xfId="0" applyFont="1" applyFill="1" applyBorder="1" applyAlignment="1"/>
    <xf numFmtId="0" fontId="1" fillId="0" borderId="0" xfId="0" applyFont="1" applyAlignment="1">
      <alignment horizontal="right"/>
    </xf>
    <xf numFmtId="0" fontId="10"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1" fillId="0" borderId="25" xfId="0" applyFont="1" applyBorder="1"/>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1" fillId="0" borderId="0" xfId="0" applyFont="1" applyFill="1" applyBorder="1" applyAlignment="1"/>
    <xf numFmtId="0" fontId="9" fillId="0" borderId="10" xfId="0" applyFont="1" applyFill="1" applyBorder="1" applyAlignment="1"/>
    <xf numFmtId="0" fontId="8" fillId="0" borderId="0" xfId="0" applyFont="1" applyBorder="1"/>
    <xf numFmtId="0" fontId="1" fillId="0" borderId="0" xfId="0" applyFont="1" applyBorder="1" applyAlignment="1">
      <alignment horizontal="center" vertical="center"/>
    </xf>
    <xf numFmtId="0" fontId="7" fillId="0" borderId="0" xfId="0" applyFont="1" applyFill="1" applyBorder="1" applyAlignment="1">
      <alignment vertical="center"/>
    </xf>
    <xf numFmtId="0" fontId="1" fillId="0" borderId="0" xfId="0" applyFont="1" applyFill="1" applyBorder="1" applyAlignment="1">
      <alignment horizontal="left"/>
    </xf>
    <xf numFmtId="14" fontId="1" fillId="0" borderId="2" xfId="0" applyNumberFormat="1" applyFont="1" applyBorder="1"/>
    <xf numFmtId="20" fontId="1" fillId="0" borderId="2" xfId="0" applyNumberFormat="1" applyFont="1" applyBorder="1"/>
    <xf numFmtId="164" fontId="1" fillId="0" borderId="10" xfId="0" applyNumberFormat="1" applyFont="1" applyFill="1" applyBorder="1"/>
    <xf numFmtId="0" fontId="6" fillId="0" borderId="10" xfId="0" applyFont="1" applyBorder="1" applyAlignment="1">
      <alignment horizontal="center" vertical="center"/>
    </xf>
    <xf numFmtId="0" fontId="1" fillId="0" borderId="0" xfId="0" applyFont="1" applyFill="1" applyBorder="1" applyAlignment="1">
      <alignment horizontal="center"/>
    </xf>
    <xf numFmtId="0" fontId="1" fillId="2" borderId="3" xfId="0" quotePrefix="1" applyFont="1" applyFill="1" applyBorder="1" applyAlignment="1">
      <alignment horizontal="center" vertical="center"/>
    </xf>
    <xf numFmtId="0" fontId="1" fillId="0" borderId="6" xfId="0" applyFont="1" applyFill="1" applyBorder="1" applyAlignment="1">
      <alignment horizontal="right" vertical="center" wrapText="1"/>
    </xf>
    <xf numFmtId="0" fontId="1" fillId="2" borderId="7" xfId="0" applyFont="1" applyFill="1" applyBorder="1" applyAlignment="1">
      <alignment horizontal="right" vertical="center" wrapText="1"/>
    </xf>
    <xf numFmtId="0" fontId="1" fillId="2" borderId="4" xfId="0" quotePrefix="1" applyFont="1" applyFill="1" applyBorder="1" applyAlignment="1">
      <alignment horizontal="center" vertical="center"/>
    </xf>
    <xf numFmtId="0" fontId="1" fillId="0" borderId="6" xfId="0" applyFont="1" applyFill="1" applyBorder="1" applyAlignment="1">
      <alignment horizontal="right"/>
    </xf>
    <xf numFmtId="0" fontId="1" fillId="2" borderId="8" xfId="0" quotePrefix="1" applyFont="1" applyFill="1" applyBorder="1" applyAlignment="1">
      <alignment horizontal="center" vertical="center"/>
    </xf>
    <xf numFmtId="0" fontId="1" fillId="0" borderId="10" xfId="0" applyFont="1" applyFill="1" applyBorder="1" applyAlignment="1">
      <alignment horizontal="right" vertical="center" wrapText="1"/>
    </xf>
    <xf numFmtId="0" fontId="1" fillId="2" borderId="11" xfId="0" applyFont="1" applyFill="1" applyBorder="1" applyAlignment="1">
      <alignment horizontal="right" vertical="center" wrapText="1"/>
    </xf>
    <xf numFmtId="0" fontId="1" fillId="0" borderId="10" xfId="0" applyFont="1" applyFill="1" applyBorder="1" applyAlignment="1"/>
    <xf numFmtId="0" fontId="1" fillId="0" borderId="10" xfId="0" applyFont="1" applyFill="1" applyBorder="1" applyAlignment="1">
      <alignment horizontal="right"/>
    </xf>
    <xf numFmtId="0" fontId="1" fillId="2" borderId="8" xfId="0" applyFont="1" applyFill="1" applyBorder="1" applyAlignment="1">
      <alignment horizontal="center" vertical="center"/>
    </xf>
    <xf numFmtId="0" fontId="1" fillId="0" borderId="10" xfId="0" applyFont="1" applyFill="1" applyBorder="1" applyAlignment="1">
      <alignment vertical="center"/>
    </xf>
    <xf numFmtId="164" fontId="1" fillId="2" borderId="8" xfId="0" quotePrefix="1" applyNumberFormat="1" applyFont="1" applyFill="1" applyBorder="1" applyAlignment="1">
      <alignment horizontal="center" vertical="center"/>
    </xf>
    <xf numFmtId="0" fontId="1" fillId="0" borderId="10" xfId="0" quotePrefix="1" applyFont="1" applyFill="1" applyBorder="1" applyAlignment="1"/>
    <xf numFmtId="0" fontId="1" fillId="0" borderId="10" xfId="0" applyFont="1" applyFill="1" applyBorder="1" applyAlignment="1">
      <alignment horizontal="right" vertical="center"/>
    </xf>
    <xf numFmtId="0" fontId="1" fillId="2" borderId="12" xfId="0" applyFont="1" applyFill="1" applyBorder="1" applyAlignment="1">
      <alignment horizontal="center" vertical="center"/>
    </xf>
    <xf numFmtId="0" fontId="1" fillId="0" borderId="15" xfId="0" applyFont="1" applyFill="1" applyBorder="1" applyAlignment="1">
      <alignment horizontal="right" vertical="center" wrapText="1"/>
    </xf>
    <xf numFmtId="0" fontId="1" fillId="0" borderId="15" xfId="0" applyFont="1" applyFill="1" applyBorder="1" applyAlignment="1"/>
    <xf numFmtId="0" fontId="1" fillId="0" borderId="15" xfId="0" applyFont="1" applyFill="1" applyBorder="1" applyAlignment="1">
      <alignment horizontal="right" vertical="center"/>
    </xf>
    <xf numFmtId="164" fontId="1" fillId="0" borderId="0" xfId="0" applyNumberFormat="1" applyFont="1" applyFill="1" applyBorder="1"/>
    <xf numFmtId="0" fontId="1" fillId="2" borderId="0" xfId="0" applyFont="1" applyFill="1" applyBorder="1"/>
    <xf numFmtId="0" fontId="2" fillId="2" borderId="0" xfId="0" applyFont="1" applyFill="1" applyBorder="1"/>
    <xf numFmtId="0" fontId="0" fillId="2" borderId="0" xfId="0" applyFill="1" applyAlignment="1">
      <alignment horizontal="center"/>
    </xf>
    <xf numFmtId="164" fontId="0" fillId="2" borderId="0" xfId="0" applyNumberFormat="1" applyFill="1" applyAlignment="1">
      <alignment horizontal="center"/>
    </xf>
    <xf numFmtId="2" fontId="1" fillId="2" borderId="0" xfId="0" applyNumberFormat="1" applyFont="1" applyFill="1" applyBorder="1"/>
    <xf numFmtId="0" fontId="0" fillId="2" borderId="0" xfId="0" applyFill="1"/>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0" xfId="0" applyFont="1" applyFill="1" applyBorder="1" applyAlignment="1">
      <alignment horizontal="left"/>
    </xf>
    <xf numFmtId="0" fontId="1" fillId="0" borderId="2" xfId="0" applyFont="1" applyFill="1" applyBorder="1" applyAlignment="1">
      <alignment horizontal="left"/>
    </xf>
    <xf numFmtId="0" fontId="1" fillId="0" borderId="9" xfId="0" applyFont="1" applyFill="1" applyBorder="1" applyAlignment="1">
      <alignment horizontal="left"/>
    </xf>
    <xf numFmtId="0" fontId="1" fillId="0" borderId="1" xfId="0" applyFont="1" applyFill="1" applyBorder="1" applyAlignment="1">
      <alignment horizontal="left"/>
    </xf>
    <xf numFmtId="0" fontId="9" fillId="0" borderId="20" xfId="0" applyFont="1" applyFill="1" applyBorder="1" applyAlignment="1">
      <alignment horizontal="center"/>
    </xf>
    <xf numFmtId="0" fontId="9" fillId="0" borderId="21" xfId="0" applyFont="1" applyFill="1" applyBorder="1" applyAlignment="1">
      <alignment horizont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9" fillId="0" borderId="17" xfId="0" applyFont="1" applyFill="1" applyBorder="1" applyAlignment="1">
      <alignment horizontal="center"/>
    </xf>
    <xf numFmtId="0" fontId="9" fillId="0" borderId="18" xfId="0" applyFont="1" applyFill="1" applyBorder="1" applyAlignment="1">
      <alignment horizontal="center"/>
    </xf>
    <xf numFmtId="0" fontId="9" fillId="0" borderId="23" xfId="0" applyFont="1" applyFill="1" applyBorder="1" applyAlignment="1">
      <alignment horizontal="center"/>
    </xf>
    <xf numFmtId="0" fontId="9" fillId="0" borderId="24"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20" fontId="1" fillId="0" borderId="2" xfId="0" applyNumberFormat="1" applyFont="1" applyBorder="1" applyAlignment="1">
      <alignment horizontal="center"/>
    </xf>
    <xf numFmtId="0" fontId="1" fillId="0" borderId="2" xfId="0" applyFont="1" applyBorder="1" applyAlignment="1">
      <alignment horizontal="left"/>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1" fillId="0" borderId="29" xfId="0" quotePrefix="1" applyFont="1" applyBorder="1" applyAlignment="1">
      <alignment horizontal="center"/>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0" fontId="1" fillId="0" borderId="2" xfId="0" quotePrefix="1" applyFont="1" applyBorder="1" applyAlignment="1">
      <alignment horizontal="right"/>
    </xf>
    <xf numFmtId="0" fontId="14" fillId="0" borderId="10" xfId="0" applyFont="1" applyBorder="1" applyAlignment="1">
      <alignment horizontal="center" vertical="center" wrapText="1"/>
    </xf>
    <xf numFmtId="0" fontId="1" fillId="0" borderId="10" xfId="0" applyFont="1" applyBorder="1" applyAlignment="1">
      <alignment horizontal="center" vertical="center"/>
    </xf>
    <xf numFmtId="164" fontId="1" fillId="0" borderId="10" xfId="0" applyNumberFormat="1" applyFont="1" applyBorder="1" applyAlignment="1">
      <alignment horizontal="center"/>
    </xf>
    <xf numFmtId="164" fontId="1" fillId="0" borderId="1" xfId="0" applyNumberFormat="1" applyFont="1" applyBorder="1"/>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vertical="center"/>
    </xf>
    <xf numFmtId="0" fontId="1" fillId="0" borderId="10" xfId="0" applyFont="1" applyBorder="1" applyAlignment="1">
      <alignment horizontal="center"/>
    </xf>
    <xf numFmtId="0" fontId="1" fillId="0" borderId="0" xfId="0" applyFont="1" applyBorder="1" applyAlignment="1"/>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right" vertical="center"/>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vertical="center"/>
    </xf>
    <xf numFmtId="0" fontId="1" fillId="0" borderId="10" xfId="0" quotePrefix="1" applyFont="1" applyBorder="1" applyAlignment="1">
      <alignment horizontal="center"/>
    </xf>
    <xf numFmtId="0" fontId="1" fillId="0" borderId="0" xfId="0" quotePrefix="1" applyFont="1" applyBorder="1" applyAlignment="1">
      <alignment horizontal="center"/>
    </xf>
    <xf numFmtId="0" fontId="1" fillId="0" borderId="10" xfId="0" applyFont="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xf numFmtId="0" fontId="14" fillId="0" borderId="0" xfId="0" applyFont="1" applyBorder="1" applyAlignment="1">
      <alignment horizontal="center" vertical="center" wrapText="1"/>
    </xf>
    <xf numFmtId="0" fontId="8" fillId="0" borderId="0" xfId="0" applyFont="1"/>
    <xf numFmtId="164" fontId="1" fillId="0" borderId="10" xfId="0" applyNumberFormat="1" applyFont="1" applyBorder="1" applyAlignment="1">
      <alignment horizontal="center" vertical="center" wrapText="1"/>
    </xf>
    <xf numFmtId="164" fontId="1" fillId="0" borderId="10" xfId="0" quotePrefix="1" applyNumberFormat="1" applyFont="1" applyBorder="1" applyAlignment="1">
      <alignment horizontal="center"/>
    </xf>
    <xf numFmtId="0" fontId="1" fillId="0" borderId="0" xfId="0" quotePrefix="1" applyFont="1" applyBorder="1" applyAlignment="1">
      <alignment horizontal="center" wrapText="1"/>
    </xf>
    <xf numFmtId="0" fontId="1" fillId="3" borderId="10" xfId="0" applyFont="1" applyFill="1" applyBorder="1" applyAlignment="1">
      <alignment horizontal="center" wrapText="1"/>
    </xf>
    <xf numFmtId="0" fontId="1" fillId="3" borderId="10" xfId="0" applyFont="1" applyFill="1" applyBorder="1" applyAlignment="1">
      <alignment horizontal="center" vertical="center"/>
    </xf>
    <xf numFmtId="0" fontId="1" fillId="0" borderId="20" xfId="0" applyFont="1" applyFill="1" applyBorder="1"/>
    <xf numFmtId="0" fontId="1" fillId="0" borderId="2" xfId="0" applyFont="1" applyFill="1" applyBorder="1"/>
    <xf numFmtId="0" fontId="1" fillId="0" borderId="9" xfId="0" applyFont="1" applyFill="1" applyBorder="1"/>
    <xf numFmtId="0" fontId="15" fillId="0" borderId="0" xfId="0" applyFont="1"/>
    <xf numFmtId="0" fontId="16" fillId="0" borderId="0" xfId="0" applyFont="1" applyBorder="1" applyAlignment="1">
      <alignment horizontal="center"/>
    </xf>
    <xf numFmtId="0" fontId="1" fillId="0" borderId="1" xfId="0" quotePrefix="1" applyFont="1" applyBorder="1" applyAlignment="1">
      <alignment horizontal="center"/>
    </xf>
    <xf numFmtId="0" fontId="1" fillId="0" borderId="0" xfId="0" quotePrefix="1" applyFont="1" applyAlignment="1">
      <alignment horizontal="center"/>
    </xf>
    <xf numFmtId="165" fontId="1" fillId="0" borderId="1" xfId="1" applyNumberFormat="1" applyFont="1" applyBorder="1"/>
    <xf numFmtId="0" fontId="17" fillId="0" borderId="0" xfId="0" applyFont="1" applyFill="1"/>
    <xf numFmtId="0" fontId="18" fillId="0" borderId="0" xfId="0" applyFont="1" applyAlignment="1">
      <alignment horizontal="center" vertical="top"/>
    </xf>
    <xf numFmtId="0" fontId="15" fillId="0" borderId="0" xfId="0" applyFont="1" applyAlignment="1">
      <alignment horizontal="left" vertical="top" wrapText="1"/>
    </xf>
    <xf numFmtId="0" fontId="15" fillId="0" borderId="0" xfId="0" applyFont="1" applyAlignment="1">
      <alignment vertical="top" wrapText="1"/>
    </xf>
    <xf numFmtId="0" fontId="9" fillId="0" borderId="1" xfId="0" applyFont="1" applyBorder="1"/>
    <xf numFmtId="3" fontId="1" fillId="0" borderId="1" xfId="0" applyNumberFormat="1" applyFont="1" applyBorder="1" applyAlignment="1">
      <alignment horizontal="left"/>
    </xf>
    <xf numFmtId="164" fontId="1" fillId="0" borderId="0" xfId="0" applyNumberFormat="1" applyFont="1"/>
    <xf numFmtId="0" fontId="1" fillId="4" borderId="0" xfId="0" applyFont="1" applyFill="1"/>
    <xf numFmtId="2" fontId="1" fillId="0" borderId="0" xfId="0" applyNumberFormat="1" applyFont="1"/>
    <xf numFmtId="165" fontId="1" fillId="2" borderId="0" xfId="1" applyNumberFormat="1" applyFont="1" applyFill="1"/>
    <xf numFmtId="9" fontId="1" fillId="0" borderId="0" xfId="1" applyFont="1"/>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10" xfId="0" applyFont="1" applyBorder="1" applyAlignment="1">
      <alignment horizontal="center" wrapText="1"/>
    </xf>
    <xf numFmtId="164" fontId="1" fillId="2" borderId="10" xfId="0" applyNumberFormat="1" applyFont="1" applyFill="1" applyBorder="1" applyAlignment="1">
      <alignment horizontal="left"/>
    </xf>
    <xf numFmtId="9" fontId="1" fillId="0" borderId="10" xfId="1" applyFont="1" applyBorder="1"/>
    <xf numFmtId="0" fontId="1" fillId="5" borderId="10" xfId="0" applyFont="1" applyFill="1" applyBorder="1"/>
    <xf numFmtId="43" fontId="1" fillId="0" borderId="10" xfId="0" applyNumberFormat="1" applyFont="1" applyBorder="1"/>
    <xf numFmtId="164" fontId="1" fillId="0" borderId="10" xfId="0" applyNumberFormat="1" applyFont="1" applyBorder="1"/>
    <xf numFmtId="164" fontId="1" fillId="2" borderId="10" xfId="0" quotePrefix="1" applyNumberFormat="1" applyFont="1" applyFill="1" applyBorder="1" applyAlignment="1">
      <alignment horizontal="left"/>
    </xf>
    <xf numFmtId="0" fontId="1" fillId="4" borderId="10" xfId="0" applyFont="1" applyFill="1" applyBorder="1"/>
    <xf numFmtId="0" fontId="1" fillId="2" borderId="10" xfId="0" applyFont="1" applyFill="1" applyBorder="1" applyAlignment="1">
      <alignment horizontal="left"/>
    </xf>
    <xf numFmtId="9" fontId="1" fillId="0" borderId="10" xfId="1" applyNumberFormat="1" applyFont="1" applyBorder="1"/>
    <xf numFmtId="0" fontId="1" fillId="2" borderId="0" xfId="0" applyFont="1" applyFill="1"/>
    <xf numFmtId="0" fontId="1" fillId="2" borderId="10" xfId="0"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0" fontId="1" fillId="2" borderId="10" xfId="0" applyFont="1" applyFill="1" applyBorder="1"/>
    <xf numFmtId="0" fontId="1" fillId="2" borderId="31" xfId="0" applyFont="1" applyFill="1" applyBorder="1"/>
    <xf numFmtId="164" fontId="1" fillId="2" borderId="10" xfId="0" applyNumberFormat="1" applyFont="1" applyFill="1" applyBorder="1" applyAlignment="1">
      <alignment horizontal="center"/>
    </xf>
    <xf numFmtId="164" fontId="1" fillId="2" borderId="30" xfId="0" applyNumberFormat="1" applyFont="1" applyFill="1" applyBorder="1" applyAlignment="1">
      <alignment horizontal="center"/>
    </xf>
    <xf numFmtId="0" fontId="0" fillId="2" borderId="0" xfId="0" applyFill="1" applyAlignment="1">
      <alignment horizontal="center"/>
    </xf>
    <xf numFmtId="0" fontId="0" fillId="0" borderId="0" xfId="0" applyAlignment="1">
      <alignment vertic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15"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YN-1</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Surface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3</c:v>
                </c:pt>
                <c:pt idx="4">
                  <c:v>14</c:v>
                </c:pt>
                <c:pt idx="5">
                  <c:v>22</c:v>
                </c:pt>
                <c:pt idx="6">
                  <c:v>39</c:v>
                </c:pt>
                <c:pt idx="7">
                  <c:v>65</c:v>
                </c:pt>
                <c:pt idx="8">
                  <c:v>95</c:v>
                </c:pt>
                <c:pt idx="9">
                  <c:v>99</c:v>
                </c:pt>
                <c:pt idx="10">
                  <c:v>100</c:v>
                </c:pt>
                <c:pt idx="11">
                  <c:v>100</c:v>
                </c:pt>
                <c:pt idx="12">
                  <c:v>100</c:v>
                </c:pt>
                <c:pt idx="13">
                  <c:v>100</c:v>
                </c:pt>
                <c:pt idx="14">
                  <c:v>100</c:v>
                </c:pt>
                <c:pt idx="15">
                  <c:v>100</c:v>
                </c:pt>
              </c:numCache>
            </c:numRef>
          </c:yVal>
          <c:smooth val="0"/>
        </c:ser>
        <c:ser>
          <c:idx val="2"/>
          <c:order val="11"/>
          <c:tx>
            <c:v>Surface Center</c:v>
          </c:tx>
          <c:spPr>
            <a:ln w="19050">
              <a:solidFill>
                <a:schemeClr val="accent6">
                  <a:lumMod val="75000"/>
                </a:schemeClr>
              </a:solidFill>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1</c:v>
                </c:pt>
                <c:pt idx="2">
                  <c:v>1</c:v>
                </c:pt>
                <c:pt idx="3">
                  <c:v>2</c:v>
                </c:pt>
                <c:pt idx="4">
                  <c:v>6</c:v>
                </c:pt>
                <c:pt idx="5">
                  <c:v>16</c:v>
                </c:pt>
                <c:pt idx="6">
                  <c:v>45</c:v>
                </c:pt>
                <c:pt idx="7">
                  <c:v>71</c:v>
                </c:pt>
                <c:pt idx="8">
                  <c:v>91</c:v>
                </c:pt>
                <c:pt idx="9">
                  <c:v>100</c:v>
                </c:pt>
                <c:pt idx="10">
                  <c:v>100</c:v>
                </c:pt>
                <c:pt idx="11">
                  <c:v>100</c:v>
                </c:pt>
                <c:pt idx="12">
                  <c:v>100</c:v>
                </c:pt>
                <c:pt idx="13">
                  <c:v>100</c:v>
                </c:pt>
                <c:pt idx="14">
                  <c:v>100</c:v>
                </c:pt>
                <c:pt idx="15">
                  <c:v>100</c:v>
                </c:pt>
              </c:numCache>
            </c:numRef>
          </c:yVal>
          <c:smooth val="0"/>
        </c:ser>
        <c:ser>
          <c:idx val="4"/>
          <c:order val="12"/>
          <c:tx>
            <c:v>Surface Right</c:v>
          </c:tx>
          <c:spPr>
            <a:ln>
              <a:solidFill>
                <a:schemeClr val="accent6">
                  <a:lumMod val="75000"/>
                </a:schemeClr>
              </a:solidFill>
              <a:prstDash val="sysDash"/>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5</c:v>
                </c:pt>
                <c:pt idx="4">
                  <c:v>10</c:v>
                </c:pt>
                <c:pt idx="5">
                  <c:v>25</c:v>
                </c:pt>
                <c:pt idx="6">
                  <c:v>48</c:v>
                </c:pt>
                <c:pt idx="7">
                  <c:v>68</c:v>
                </c:pt>
                <c:pt idx="8">
                  <c:v>88</c:v>
                </c:pt>
                <c:pt idx="9">
                  <c:v>98</c:v>
                </c:pt>
                <c:pt idx="10">
                  <c:v>100</c:v>
                </c:pt>
                <c:pt idx="11">
                  <c:v>100</c:v>
                </c:pt>
                <c:pt idx="12">
                  <c:v>100</c:v>
                </c:pt>
                <c:pt idx="13">
                  <c:v>100</c:v>
                </c:pt>
                <c:pt idx="14">
                  <c:v>100</c:v>
                </c:pt>
                <c:pt idx="15">
                  <c:v>100</c:v>
                </c:pt>
              </c:numCache>
            </c:numRef>
          </c:yVal>
          <c:smooth val="0"/>
        </c:ser>
        <c:ser>
          <c:idx val="10"/>
          <c:order val="13"/>
          <c:tx>
            <c:v>Surface Average</c:v>
          </c:tx>
          <c:spPr>
            <a:ln w="38100">
              <a:solidFill>
                <a:schemeClr val="accent6">
                  <a:lumMod val="75000"/>
                </a:schemeClr>
              </a:solidFill>
              <a:prstDash val="solid"/>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0.33333333333333331</c:v>
                </c:pt>
                <c:pt idx="2">
                  <c:v>0.33333333333333331</c:v>
                </c:pt>
                <c:pt idx="3">
                  <c:v>3.3333333333333335</c:v>
                </c:pt>
                <c:pt idx="4">
                  <c:v>10</c:v>
                </c:pt>
                <c:pt idx="5">
                  <c:v>21</c:v>
                </c:pt>
                <c:pt idx="6">
                  <c:v>44</c:v>
                </c:pt>
                <c:pt idx="7">
                  <c:v>68</c:v>
                </c:pt>
                <c:pt idx="8">
                  <c:v>91.333333333333329</c:v>
                </c:pt>
                <c:pt idx="9">
                  <c:v>99</c:v>
                </c:pt>
                <c:pt idx="10">
                  <c:v>100</c:v>
                </c:pt>
                <c:pt idx="11">
                  <c:v>100</c:v>
                </c:pt>
                <c:pt idx="12">
                  <c:v>100</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100</c:v>
                </c:pt>
                <c:pt idx="5">
                  <c:v>100</c:v>
                </c:pt>
                <c:pt idx="6">
                  <c:v>99.561922129861188</c:v>
                </c:pt>
                <c:pt idx="7">
                  <c:v>93.964260455865329</c:v>
                </c:pt>
                <c:pt idx="8">
                  <c:v>78.826236276624371</c:v>
                </c:pt>
                <c:pt idx="9">
                  <c:v>63.663874437931241</c:v>
                </c:pt>
                <c:pt idx="10">
                  <c:v>48.38454457282775</c:v>
                </c:pt>
                <c:pt idx="11">
                  <c:v>40.108240895896685</c:v>
                </c:pt>
                <c:pt idx="12">
                  <c:v>36.288408429620809</c:v>
                </c:pt>
                <c:pt idx="13">
                  <c:v>33.741853452103562</c:v>
                </c:pt>
                <c:pt idx="14">
                  <c:v>26.10218851955181</c:v>
                </c:pt>
                <c:pt idx="15">
                  <c:v>3.1831937218965622</c:v>
                </c:pt>
                <c:pt idx="16">
                  <c:v>0.63663874437931245</c:v>
                </c:pt>
                <c:pt idx="17">
                  <c:v>0.25465549775172497</c:v>
                </c:pt>
              </c:numCache>
            </c:numRef>
          </c:yVal>
          <c:smooth val="0"/>
        </c:ser>
        <c:dLbls>
          <c:showLegendKey val="0"/>
          <c:showVal val="0"/>
          <c:showCatName val="0"/>
          <c:showSerName val="0"/>
          <c:showPercent val="0"/>
          <c:showBubbleSize val="0"/>
        </c:dLbls>
        <c:axId val="134513408"/>
        <c:axId val="134515328"/>
      </c:scatterChart>
      <c:valAx>
        <c:axId val="13451340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4515328"/>
        <c:crosses val="autoZero"/>
        <c:crossBetween val="midCat"/>
        <c:majorUnit val="10"/>
        <c:minorUnit val="10"/>
      </c:valAx>
      <c:valAx>
        <c:axId val="13451532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451340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25</xdr:col>
      <xdr:colOff>457200</xdr:colOff>
      <xdr:row>43</xdr:row>
      <xdr:rowOff>60960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V1" workbookViewId="0">
      <selection activeCell="AE36" sqref="AE36"/>
    </sheetView>
  </sheetViews>
  <sheetFormatPr defaultColWidth="8.85546875" defaultRowHeight="15" x14ac:dyDescent="0.25"/>
  <sheetData>
    <row r="1" spans="2:37" ht="23.45" thickBot="1" x14ac:dyDescent="0.45">
      <c r="AD1" s="184" t="s">
        <v>114</v>
      </c>
      <c r="AE1" s="185"/>
      <c r="AF1" s="185"/>
      <c r="AG1" s="185"/>
      <c r="AH1" s="185"/>
      <c r="AI1" s="185"/>
      <c r="AJ1" s="185"/>
      <c r="AK1" s="186"/>
    </row>
    <row r="2" spans="2:37" ht="22.9" x14ac:dyDescent="0.4">
      <c r="B2" s="78" t="s">
        <v>45</v>
      </c>
      <c r="C2" s="78"/>
      <c r="D2" s="78"/>
      <c r="E2" s="78"/>
      <c r="F2" s="78"/>
      <c r="G2" s="78"/>
      <c r="H2" s="78"/>
      <c r="I2" s="78"/>
      <c r="J2" s="78"/>
      <c r="K2" s="78"/>
      <c r="AD2" s="2" t="s">
        <v>115</v>
      </c>
      <c r="AF2" s="157">
        <f>+AE26</f>
        <v>296.10000000000002</v>
      </c>
      <c r="AG2" s="2" t="s">
        <v>116</v>
      </c>
    </row>
    <row r="3" spans="2:37" ht="13.9" x14ac:dyDescent="0.25">
      <c r="B3" s="8" t="s">
        <v>46</v>
      </c>
      <c r="C3" s="7"/>
      <c r="D3" s="40" t="s">
        <v>47</v>
      </c>
      <c r="E3" s="7"/>
      <c r="F3" s="2" t="s">
        <v>6</v>
      </c>
      <c r="G3" s="7" t="s">
        <v>48</v>
      </c>
      <c r="H3" s="7"/>
      <c r="I3" s="7"/>
      <c r="J3" s="7"/>
      <c r="K3" s="8"/>
      <c r="AD3" s="2" t="s">
        <v>117</v>
      </c>
      <c r="AF3" s="158">
        <v>8295</v>
      </c>
      <c r="AG3" s="2" t="s">
        <v>118</v>
      </c>
      <c r="AH3" s="159">
        <f>+AF3*0.0022046</f>
        <v>18.287157000000001</v>
      </c>
      <c r="AI3" s="2" t="s">
        <v>116</v>
      </c>
    </row>
    <row r="4" spans="2:37" ht="13.9" x14ac:dyDescent="0.25">
      <c r="B4" s="8" t="s">
        <v>11</v>
      </c>
      <c r="C4" s="47">
        <v>41495</v>
      </c>
      <c r="D4" s="102">
        <v>0.52083333333333337</v>
      </c>
      <c r="E4" s="9"/>
      <c r="F4" s="10" t="s">
        <v>49</v>
      </c>
      <c r="G4" s="9"/>
      <c r="H4" s="9"/>
      <c r="I4" s="9"/>
      <c r="J4" s="9"/>
      <c r="K4" s="8"/>
      <c r="AD4" s="2" t="s">
        <v>119</v>
      </c>
      <c r="AF4" s="160">
        <f>1-AH3/H42</f>
        <v>0.11656246376811585</v>
      </c>
    </row>
    <row r="5" spans="2:37" ht="14.45" thickBot="1" x14ac:dyDescent="0.3">
      <c r="B5" s="8" t="s">
        <v>14</v>
      </c>
      <c r="C5" s="9"/>
      <c r="D5" s="12"/>
      <c r="E5" s="9"/>
      <c r="F5" s="10" t="s">
        <v>50</v>
      </c>
      <c r="G5" s="103" t="s">
        <v>51</v>
      </c>
      <c r="H5" s="9"/>
      <c r="I5" s="9"/>
      <c r="J5" s="9"/>
      <c r="K5" s="8"/>
      <c r="AF5" s="161"/>
    </row>
    <row r="6" spans="2:37" ht="13.9" x14ac:dyDescent="0.25">
      <c r="B6" s="8" t="s">
        <v>52</v>
      </c>
      <c r="C6" s="9"/>
      <c r="D6" s="9" t="s">
        <v>53</v>
      </c>
      <c r="E6" s="9"/>
      <c r="F6" s="10"/>
      <c r="G6" s="9" t="s">
        <v>54</v>
      </c>
      <c r="H6" s="9"/>
      <c r="I6" s="9"/>
      <c r="J6" s="9"/>
      <c r="K6" s="8"/>
      <c r="AE6" s="162" t="s">
        <v>120</v>
      </c>
      <c r="AF6" s="163"/>
      <c r="AG6" s="163"/>
      <c r="AH6" s="164"/>
    </row>
    <row r="7" spans="2:37" ht="41.45" x14ac:dyDescent="0.25">
      <c r="B7" s="7" t="s">
        <v>55</v>
      </c>
      <c r="C7" s="9"/>
      <c r="D7" s="9"/>
      <c r="E7" s="9"/>
      <c r="F7" s="10"/>
      <c r="G7" s="9"/>
      <c r="H7" s="9"/>
      <c r="I7" s="9"/>
      <c r="J7" s="9"/>
      <c r="K7" s="8"/>
      <c r="AE7" s="165" t="s">
        <v>121</v>
      </c>
      <c r="AF7" s="165" t="s">
        <v>122</v>
      </c>
      <c r="AG7" s="132" t="s">
        <v>123</v>
      </c>
      <c r="AH7" s="132" t="s">
        <v>124</v>
      </c>
      <c r="AI7" s="132" t="s">
        <v>125</v>
      </c>
      <c r="AJ7" s="132" t="s">
        <v>126</v>
      </c>
      <c r="AK7" s="132" t="s">
        <v>127</v>
      </c>
    </row>
    <row r="8" spans="2:37" ht="13.9" x14ac:dyDescent="0.25">
      <c r="B8" s="8" t="s">
        <v>16</v>
      </c>
      <c r="C8" s="9"/>
      <c r="D8" s="9" t="s">
        <v>17</v>
      </c>
      <c r="E8" s="9"/>
      <c r="G8" s="9"/>
      <c r="H8" s="9"/>
      <c r="I8" s="9"/>
      <c r="J8" s="9"/>
      <c r="K8" s="8"/>
      <c r="AD8" s="166">
        <v>360</v>
      </c>
      <c r="AE8" s="135">
        <f t="shared" ref="AE8:AE16" si="0">+H30</f>
        <v>0</v>
      </c>
      <c r="AF8" s="135">
        <f>+AE8</f>
        <v>0</v>
      </c>
      <c r="AG8" s="135">
        <f>+AF8</f>
        <v>0</v>
      </c>
      <c r="AH8" s="167">
        <f t="shared" ref="AH8:AH17" si="1">1-(AG8/AF$27)</f>
        <v>1</v>
      </c>
      <c r="AI8" s="168"/>
      <c r="AJ8" s="168"/>
      <c r="AK8" s="169">
        <f t="shared" ref="AK8:AK17" si="2">+AH8*100</f>
        <v>100</v>
      </c>
    </row>
    <row r="9" spans="2:37" ht="14.45" thickBot="1" x14ac:dyDescent="0.3">
      <c r="G9" s="9"/>
      <c r="H9" s="9"/>
      <c r="I9" s="9"/>
      <c r="J9" s="9"/>
      <c r="K9" s="8"/>
      <c r="AD9" s="166">
        <v>256</v>
      </c>
      <c r="AE9" s="135">
        <f t="shared" si="0"/>
        <v>0</v>
      </c>
      <c r="AF9" s="135">
        <f t="shared" ref="AF9:AF17" si="3">+AE9</f>
        <v>0</v>
      </c>
      <c r="AG9" s="170">
        <f t="shared" ref="AG9:AG17" si="4">+AF9+AG8</f>
        <v>0</v>
      </c>
      <c r="AH9" s="167">
        <f t="shared" si="1"/>
        <v>1</v>
      </c>
      <c r="AI9" s="168"/>
      <c r="AJ9" s="168"/>
      <c r="AK9" s="169">
        <f t="shared" si="2"/>
        <v>100</v>
      </c>
    </row>
    <row r="10" spans="2:37" ht="18" thickBot="1" x14ac:dyDescent="0.35">
      <c r="B10" s="104" t="s">
        <v>56</v>
      </c>
      <c r="C10" s="105"/>
      <c r="D10" s="105"/>
      <c r="E10" s="106"/>
      <c r="G10" s="36"/>
      <c r="H10" s="36"/>
      <c r="I10" s="36"/>
      <c r="J10" s="36"/>
      <c r="AD10" s="166">
        <v>180</v>
      </c>
      <c r="AE10" s="135">
        <f t="shared" si="0"/>
        <v>0</v>
      </c>
      <c r="AF10" s="135">
        <f t="shared" si="3"/>
        <v>0</v>
      </c>
      <c r="AG10" s="170">
        <f t="shared" si="4"/>
        <v>0</v>
      </c>
      <c r="AH10" s="167">
        <f t="shared" si="1"/>
        <v>1</v>
      </c>
      <c r="AI10" s="168"/>
      <c r="AJ10" s="168"/>
      <c r="AK10" s="169">
        <f t="shared" si="2"/>
        <v>100</v>
      </c>
    </row>
    <row r="11" spans="2:37" ht="16.149999999999999" x14ac:dyDescent="0.35">
      <c r="B11" s="107" t="s">
        <v>57</v>
      </c>
      <c r="C11" s="107" t="s">
        <v>58</v>
      </c>
      <c r="D11" s="107" t="s">
        <v>59</v>
      </c>
      <c r="E11" s="107" t="s">
        <v>60</v>
      </c>
      <c r="G11" s="32" t="s">
        <v>61</v>
      </c>
      <c r="H11" s="7">
        <v>50</v>
      </c>
      <c r="I11" s="7"/>
      <c r="J11" s="8"/>
      <c r="AD11" s="166">
        <v>128</v>
      </c>
      <c r="AE11" s="135">
        <f t="shared" si="0"/>
        <v>0</v>
      </c>
      <c r="AF11" s="135">
        <f t="shared" si="3"/>
        <v>0</v>
      </c>
      <c r="AG11" s="170">
        <f t="shared" si="4"/>
        <v>0</v>
      </c>
      <c r="AH11" s="167">
        <f>1-(AG11/AF$27)</f>
        <v>1</v>
      </c>
      <c r="AI11" s="168"/>
      <c r="AJ11" s="168"/>
      <c r="AK11" s="169">
        <f t="shared" si="2"/>
        <v>100</v>
      </c>
    </row>
    <row r="12" spans="2:37" ht="27.6" x14ac:dyDescent="0.25">
      <c r="B12" s="108" t="s">
        <v>62</v>
      </c>
      <c r="C12" s="109" t="s">
        <v>63</v>
      </c>
      <c r="D12" s="109" t="s">
        <v>64</v>
      </c>
      <c r="E12" s="109" t="s">
        <v>65</v>
      </c>
      <c r="G12" s="32" t="s">
        <v>66</v>
      </c>
      <c r="H12" s="110" t="s">
        <v>67</v>
      </c>
      <c r="I12" s="9"/>
      <c r="AD12" s="171">
        <v>90</v>
      </c>
      <c r="AE12" s="135">
        <f t="shared" si="0"/>
        <v>0</v>
      </c>
      <c r="AF12" s="135">
        <f t="shared" si="3"/>
        <v>0</v>
      </c>
      <c r="AG12" s="170">
        <f t="shared" si="4"/>
        <v>0</v>
      </c>
      <c r="AH12" s="167">
        <f t="shared" si="1"/>
        <v>1</v>
      </c>
      <c r="AI12" s="168"/>
      <c r="AJ12" s="168"/>
      <c r="AK12" s="169">
        <f t="shared" si="2"/>
        <v>100</v>
      </c>
    </row>
    <row r="13" spans="2:37" ht="13.9" x14ac:dyDescent="0.25">
      <c r="B13" s="108"/>
      <c r="C13" s="109"/>
      <c r="D13" s="109"/>
      <c r="E13" s="111" t="s">
        <v>68</v>
      </c>
      <c r="G13" s="32"/>
      <c r="H13" s="36"/>
      <c r="I13" s="36"/>
      <c r="AD13" s="171">
        <v>64</v>
      </c>
      <c r="AE13" s="135">
        <f t="shared" si="0"/>
        <v>0</v>
      </c>
      <c r="AF13" s="135">
        <f t="shared" si="3"/>
        <v>0</v>
      </c>
      <c r="AG13" s="170">
        <f t="shared" si="4"/>
        <v>0</v>
      </c>
      <c r="AH13" s="167">
        <f t="shared" si="1"/>
        <v>1</v>
      </c>
      <c r="AI13" s="168"/>
      <c r="AJ13" s="168"/>
      <c r="AK13" s="169">
        <f t="shared" si="2"/>
        <v>100</v>
      </c>
    </row>
    <row r="14" spans="2:37" ht="13.9" x14ac:dyDescent="0.25">
      <c r="B14" s="112">
        <v>1</v>
      </c>
      <c r="C14" s="113">
        <v>1.7</v>
      </c>
      <c r="D14" s="113">
        <v>73.8</v>
      </c>
      <c r="E14" s="180">
        <f t="shared" ref="E14:E19" si="5">D14-C14</f>
        <v>72.099999999999994</v>
      </c>
      <c r="G14" s="32" t="s">
        <v>69</v>
      </c>
      <c r="H14" s="114">
        <v>453.2</v>
      </c>
      <c r="I14" s="7"/>
      <c r="AD14" s="166">
        <v>45</v>
      </c>
      <c r="AE14" s="135">
        <f t="shared" si="0"/>
        <v>1.8</v>
      </c>
      <c r="AF14" s="135">
        <f t="shared" si="3"/>
        <v>1.8</v>
      </c>
      <c r="AG14" s="170">
        <f t="shared" si="4"/>
        <v>1.8</v>
      </c>
      <c r="AH14" s="167">
        <f t="shared" si="1"/>
        <v>0.99561922129861191</v>
      </c>
      <c r="AI14" s="168"/>
      <c r="AJ14" s="168"/>
      <c r="AK14" s="169">
        <f t="shared" si="2"/>
        <v>99.561922129861188</v>
      </c>
    </row>
    <row r="15" spans="2:37" ht="13.9" x14ac:dyDescent="0.25">
      <c r="B15" s="112">
        <v>2</v>
      </c>
      <c r="C15" s="113">
        <v>1.7</v>
      </c>
      <c r="D15" s="113">
        <v>78.8</v>
      </c>
      <c r="E15" s="180">
        <f t="shared" si="5"/>
        <v>77.099999999999994</v>
      </c>
      <c r="L15" s="8"/>
      <c r="M15" s="8"/>
      <c r="N15" s="8"/>
      <c r="O15" s="8"/>
      <c r="AD15" s="166">
        <v>32</v>
      </c>
      <c r="AE15" s="135">
        <f t="shared" si="0"/>
        <v>23</v>
      </c>
      <c r="AF15" s="135">
        <f t="shared" si="3"/>
        <v>23</v>
      </c>
      <c r="AG15" s="170">
        <f t="shared" si="4"/>
        <v>24.8</v>
      </c>
      <c r="AH15" s="167">
        <f t="shared" si="1"/>
        <v>0.93964260455865334</v>
      </c>
      <c r="AI15" s="168"/>
      <c r="AJ15" s="168"/>
      <c r="AK15" s="169">
        <f t="shared" si="2"/>
        <v>93.964260455865329</v>
      </c>
    </row>
    <row r="16" spans="2:37" ht="13.9" x14ac:dyDescent="0.25">
      <c r="B16" s="112">
        <v>3</v>
      </c>
      <c r="C16" s="113">
        <v>1.7</v>
      </c>
      <c r="D16" s="113">
        <v>65.8</v>
      </c>
      <c r="E16" s="180">
        <f t="shared" si="5"/>
        <v>64.099999999999994</v>
      </c>
      <c r="G16" s="115" t="s">
        <v>29</v>
      </c>
      <c r="H16" s="115"/>
      <c r="I16" s="115"/>
      <c r="J16" s="115"/>
      <c r="L16" s="8"/>
      <c r="M16" s="8"/>
      <c r="N16" s="8"/>
      <c r="O16" s="8"/>
      <c r="AD16" s="166">
        <v>22.5</v>
      </c>
      <c r="AE16" s="135">
        <f t="shared" si="0"/>
        <v>62.199999999999996</v>
      </c>
      <c r="AF16" s="135">
        <f t="shared" si="3"/>
        <v>62.199999999999996</v>
      </c>
      <c r="AG16" s="170">
        <f t="shared" si="4"/>
        <v>87</v>
      </c>
      <c r="AH16" s="167">
        <f t="shared" si="1"/>
        <v>0.78826236276624373</v>
      </c>
      <c r="AI16" s="168"/>
      <c r="AJ16" s="168"/>
      <c r="AK16" s="169">
        <f t="shared" si="2"/>
        <v>78.826236276624371</v>
      </c>
    </row>
    <row r="17" spans="2:37" ht="13.9" x14ac:dyDescent="0.25">
      <c r="B17" s="112">
        <v>4</v>
      </c>
      <c r="C17" s="113">
        <v>1.7</v>
      </c>
      <c r="D17" s="113">
        <v>75.599999999999994</v>
      </c>
      <c r="E17" s="180">
        <f t="shared" si="5"/>
        <v>73.899999999999991</v>
      </c>
      <c r="F17" s="10" t="s">
        <v>70</v>
      </c>
      <c r="G17" s="112" t="s">
        <v>71</v>
      </c>
      <c r="H17" s="116" t="s">
        <v>31</v>
      </c>
      <c r="I17" s="117"/>
      <c r="J17" s="117"/>
      <c r="K17" s="118"/>
      <c r="L17" s="119"/>
      <c r="M17" s="119"/>
      <c r="N17" s="119"/>
      <c r="O17" s="119"/>
      <c r="AD17" s="166">
        <v>16</v>
      </c>
      <c r="AE17" s="170">
        <f>+H39</f>
        <v>62.3</v>
      </c>
      <c r="AF17" s="135">
        <f t="shared" si="3"/>
        <v>62.3</v>
      </c>
      <c r="AG17" s="170">
        <f t="shared" si="4"/>
        <v>149.30000000000001</v>
      </c>
      <c r="AH17" s="167">
        <f t="shared" si="1"/>
        <v>0.63663874437931245</v>
      </c>
      <c r="AI17" s="172">
        <v>100</v>
      </c>
      <c r="AJ17" s="167">
        <f t="shared" ref="AJ17:AJ25" si="6">+AI17/100*AH$17</f>
        <v>0.63663874437931245</v>
      </c>
      <c r="AK17" s="169">
        <f t="shared" si="2"/>
        <v>63.663874437931241</v>
      </c>
    </row>
    <row r="18" spans="2:37" ht="13.9" x14ac:dyDescent="0.25">
      <c r="B18" s="112">
        <v>5</v>
      </c>
      <c r="C18" s="113">
        <v>1.7</v>
      </c>
      <c r="D18" s="113">
        <v>85.8</v>
      </c>
      <c r="E18" s="180">
        <f t="shared" si="5"/>
        <v>84.1</v>
      </c>
      <c r="G18" s="120"/>
      <c r="H18" s="87" t="s">
        <v>72</v>
      </c>
      <c r="I18" s="88"/>
      <c r="J18" s="88"/>
      <c r="K18" s="89"/>
      <c r="L18" s="121"/>
      <c r="M18" s="121"/>
      <c r="N18" s="121"/>
      <c r="O18" s="121"/>
      <c r="AD18" s="166">
        <v>8</v>
      </c>
      <c r="AE18" s="168"/>
      <c r="AF18" s="168"/>
      <c r="AG18" s="168"/>
      <c r="AH18" s="168"/>
      <c r="AI18" s="172">
        <v>76</v>
      </c>
      <c r="AJ18" s="167">
        <f t="shared" si="6"/>
        <v>0.48384544572827748</v>
      </c>
      <c r="AK18" s="169">
        <f t="shared" ref="AK18:AK25" si="7">+AJ18*100</f>
        <v>48.38454457282775</v>
      </c>
    </row>
    <row r="19" spans="2:37" ht="13.9" x14ac:dyDescent="0.25">
      <c r="B19" s="112">
        <v>6</v>
      </c>
      <c r="C19" s="113">
        <v>1.7</v>
      </c>
      <c r="D19" s="113">
        <v>83.6</v>
      </c>
      <c r="E19" s="180">
        <f t="shared" si="5"/>
        <v>81.899999999999991</v>
      </c>
      <c r="G19" s="120">
        <v>227</v>
      </c>
      <c r="H19" s="87" t="s">
        <v>73</v>
      </c>
      <c r="I19" s="88"/>
      <c r="J19" s="88"/>
      <c r="K19" s="89"/>
      <c r="L19" s="121"/>
      <c r="M19" s="121"/>
      <c r="N19" s="121"/>
      <c r="O19" s="121"/>
      <c r="AD19" s="166">
        <v>4</v>
      </c>
      <c r="AE19" s="168"/>
      <c r="AF19" s="168"/>
      <c r="AG19" s="168"/>
      <c r="AH19" s="168"/>
      <c r="AI19" s="172">
        <v>63</v>
      </c>
      <c r="AJ19" s="167">
        <f t="shared" si="6"/>
        <v>0.40108240895896685</v>
      </c>
      <c r="AK19" s="169">
        <f t="shared" si="7"/>
        <v>40.108240895896685</v>
      </c>
    </row>
    <row r="20" spans="2:37" ht="13.9" x14ac:dyDescent="0.25">
      <c r="B20" s="112">
        <v>7</v>
      </c>
      <c r="C20" s="113"/>
      <c r="D20" s="113"/>
      <c r="E20" s="181"/>
      <c r="G20" s="120">
        <v>230</v>
      </c>
      <c r="H20" s="87" t="s">
        <v>74</v>
      </c>
      <c r="I20" s="88"/>
      <c r="J20" s="88"/>
      <c r="K20" s="89"/>
      <c r="L20" s="121"/>
      <c r="M20" s="121"/>
      <c r="N20" s="121"/>
      <c r="O20" s="121"/>
      <c r="AD20" s="166">
        <v>2</v>
      </c>
      <c r="AE20" s="168"/>
      <c r="AF20" s="168"/>
      <c r="AG20" s="168"/>
      <c r="AH20" s="168"/>
      <c r="AI20" s="172">
        <v>57</v>
      </c>
      <c r="AJ20" s="167">
        <f t="shared" si="6"/>
        <v>0.36288408429620805</v>
      </c>
      <c r="AK20" s="169">
        <f t="shared" si="7"/>
        <v>36.288408429620809</v>
      </c>
    </row>
    <row r="21" spans="2:37" ht="13.9" x14ac:dyDescent="0.25">
      <c r="B21" s="112">
        <v>8</v>
      </c>
      <c r="C21" s="113"/>
      <c r="D21" s="113"/>
      <c r="E21" s="181"/>
      <c r="G21" s="120">
        <v>231</v>
      </c>
      <c r="H21" s="87" t="s">
        <v>75</v>
      </c>
      <c r="I21" s="88"/>
      <c r="J21" s="88"/>
      <c r="K21" s="89"/>
      <c r="L21" s="121"/>
      <c r="M21" s="121"/>
      <c r="N21" s="121"/>
      <c r="O21" s="121"/>
      <c r="AD21" s="166">
        <v>1</v>
      </c>
      <c r="AE21" s="168"/>
      <c r="AF21" s="168"/>
      <c r="AG21" s="168"/>
      <c r="AH21" s="168"/>
      <c r="AI21" s="172">
        <v>53</v>
      </c>
      <c r="AJ21" s="167">
        <f t="shared" si="6"/>
        <v>0.3374185345210356</v>
      </c>
      <c r="AK21" s="169">
        <f t="shared" si="7"/>
        <v>33.741853452103562</v>
      </c>
    </row>
    <row r="22" spans="2:37" ht="13.9" x14ac:dyDescent="0.25">
      <c r="B22" s="112">
        <v>9</v>
      </c>
      <c r="C22" s="113"/>
      <c r="D22" s="113"/>
      <c r="E22" s="181"/>
      <c r="G22" s="120">
        <v>232</v>
      </c>
      <c r="H22" s="87" t="s">
        <v>76</v>
      </c>
      <c r="I22" s="88"/>
      <c r="J22" s="88"/>
      <c r="K22" s="89"/>
      <c r="L22" s="121"/>
      <c r="M22" s="121"/>
      <c r="N22" s="121"/>
      <c r="O22" s="121"/>
      <c r="AD22" s="166">
        <v>0.5</v>
      </c>
      <c r="AE22" s="168"/>
      <c r="AF22" s="168"/>
      <c r="AG22" s="168"/>
      <c r="AH22" s="168"/>
      <c r="AI22" s="172">
        <v>41</v>
      </c>
      <c r="AJ22" s="167">
        <f t="shared" si="6"/>
        <v>0.26102188519551811</v>
      </c>
      <c r="AK22" s="169">
        <f t="shared" si="7"/>
        <v>26.10218851955181</v>
      </c>
    </row>
    <row r="23" spans="2:37" ht="13.9" x14ac:dyDescent="0.25">
      <c r="B23" s="112">
        <v>10</v>
      </c>
      <c r="C23" s="113"/>
      <c r="D23" s="113"/>
      <c r="E23" s="181"/>
      <c r="G23" s="120"/>
      <c r="H23" s="87"/>
      <c r="I23" s="88"/>
      <c r="J23" s="88"/>
      <c r="K23" s="89"/>
      <c r="L23" s="121"/>
      <c r="M23" s="121"/>
      <c r="N23" s="121"/>
      <c r="O23" s="121"/>
      <c r="AD23" s="173">
        <v>0.25</v>
      </c>
      <c r="AE23" s="168"/>
      <c r="AF23" s="168"/>
      <c r="AG23" s="168"/>
      <c r="AH23" s="168"/>
      <c r="AI23" s="172">
        <v>5</v>
      </c>
      <c r="AJ23" s="167">
        <f t="shared" si="6"/>
        <v>3.1831937218965621E-2</v>
      </c>
      <c r="AK23" s="169">
        <f t="shared" si="7"/>
        <v>3.1831937218965622</v>
      </c>
    </row>
    <row r="24" spans="2:37" ht="13.9" x14ac:dyDescent="0.25">
      <c r="B24" s="112" t="s">
        <v>77</v>
      </c>
      <c r="C24" s="113">
        <f>SUM(C14:C23)</f>
        <v>10.199999999999999</v>
      </c>
      <c r="D24" s="113">
        <f>SUM(D14:D23)</f>
        <v>463.4</v>
      </c>
      <c r="E24" s="180">
        <f>SUM(E14:E23)</f>
        <v>453.19999999999993</v>
      </c>
      <c r="G24" s="120"/>
      <c r="H24" s="87"/>
      <c r="I24" s="88"/>
      <c r="J24" s="88"/>
      <c r="K24" s="89"/>
      <c r="L24" s="121"/>
      <c r="M24" s="121"/>
      <c r="N24" s="121"/>
      <c r="O24" s="121"/>
      <c r="AD24" s="173">
        <v>0.125</v>
      </c>
      <c r="AE24" s="168"/>
      <c r="AF24" s="168"/>
      <c r="AG24" s="168"/>
      <c r="AH24" s="168"/>
      <c r="AI24" s="172">
        <v>1</v>
      </c>
      <c r="AJ24" s="174">
        <f t="shared" si="6"/>
        <v>6.3663874437931249E-3</v>
      </c>
      <c r="AK24" s="169">
        <f t="shared" si="7"/>
        <v>0.63663874437931245</v>
      </c>
    </row>
    <row r="25" spans="2:37" ht="13.9" x14ac:dyDescent="0.25">
      <c r="B25" s="37"/>
      <c r="C25" s="8"/>
      <c r="D25" s="8"/>
      <c r="E25" s="8">
        <v>449.7</v>
      </c>
      <c r="F25" s="2" t="s">
        <v>130</v>
      </c>
      <c r="G25" s="122"/>
      <c r="H25" s="123"/>
      <c r="I25" s="123"/>
      <c r="J25" s="124"/>
      <c r="K25" s="125" t="s">
        <v>78</v>
      </c>
      <c r="L25" s="8"/>
      <c r="M25" s="8"/>
      <c r="N25" s="8"/>
      <c r="O25" s="8"/>
      <c r="AD25" s="173">
        <v>6.25E-2</v>
      </c>
      <c r="AE25" s="135"/>
      <c r="AF25" s="135"/>
      <c r="AG25" s="135"/>
      <c r="AH25" s="135"/>
      <c r="AI25" s="172">
        <v>0.4</v>
      </c>
      <c r="AJ25" s="174">
        <f t="shared" si="6"/>
        <v>2.5465549775172498E-3</v>
      </c>
      <c r="AK25" s="169">
        <f t="shared" si="7"/>
        <v>0.25465549775172497</v>
      </c>
    </row>
    <row r="26" spans="2:37" ht="17.45" x14ac:dyDescent="0.25">
      <c r="B26" s="126" t="s">
        <v>79</v>
      </c>
      <c r="C26" s="127"/>
      <c r="D26" s="127"/>
      <c r="E26" s="127"/>
      <c r="F26" s="127"/>
      <c r="G26" s="127"/>
      <c r="H26" s="127"/>
      <c r="I26" s="128"/>
      <c r="J26" s="129"/>
      <c r="K26" s="119"/>
      <c r="L26" s="8"/>
      <c r="M26" s="8"/>
      <c r="N26" s="8"/>
      <c r="O26" s="8"/>
      <c r="AE26" s="157">
        <f>+H40</f>
        <v>296.10000000000002</v>
      </c>
      <c r="AF26" s="175">
        <f>(AH3/H42)*AE26</f>
        <v>261.5858544782609</v>
      </c>
      <c r="AG26" s="157"/>
    </row>
    <row r="27" spans="2:37" ht="13.9" x14ac:dyDescent="0.25">
      <c r="B27" s="130" t="s">
        <v>57</v>
      </c>
      <c r="C27" s="130" t="s">
        <v>58</v>
      </c>
      <c r="D27" s="130" t="s">
        <v>59</v>
      </c>
      <c r="E27" s="130" t="s">
        <v>60</v>
      </c>
      <c r="F27" s="130" t="s">
        <v>80</v>
      </c>
      <c r="G27" s="130" t="s">
        <v>81</v>
      </c>
      <c r="H27" s="130" t="s">
        <v>82</v>
      </c>
      <c r="I27" s="130" t="s">
        <v>83</v>
      </c>
      <c r="J27" s="131"/>
      <c r="K27" s="131"/>
      <c r="AE27" s="2">
        <f>SUM(AE8:AE26)</f>
        <v>445.40000000000003</v>
      </c>
      <c r="AF27" s="2">
        <f>SUM(AF8:AF26)</f>
        <v>410.88585447826091</v>
      </c>
      <c r="AG27" s="157"/>
    </row>
    <row r="28" spans="2:37" ht="82.9" x14ac:dyDescent="0.25">
      <c r="B28" s="132" t="s">
        <v>84</v>
      </c>
      <c r="C28" s="133" t="s">
        <v>85</v>
      </c>
      <c r="D28" s="132" t="s">
        <v>86</v>
      </c>
      <c r="E28" s="132" t="s">
        <v>87</v>
      </c>
      <c r="F28" s="132" t="s">
        <v>88</v>
      </c>
      <c r="G28" s="132" t="s">
        <v>89</v>
      </c>
      <c r="H28" s="132" t="s">
        <v>90</v>
      </c>
      <c r="I28" s="132" t="s">
        <v>91</v>
      </c>
      <c r="J28" s="134"/>
      <c r="K28" s="134"/>
      <c r="N28" s="134"/>
    </row>
    <row r="29" spans="2:37" ht="17.45" x14ac:dyDescent="0.3">
      <c r="B29" s="135"/>
      <c r="C29" s="111"/>
      <c r="D29" s="132"/>
      <c r="E29" s="132"/>
      <c r="F29" s="132"/>
      <c r="G29" s="111" t="s">
        <v>92</v>
      </c>
      <c r="H29" s="111" t="s">
        <v>93</v>
      </c>
      <c r="I29" s="111" t="s">
        <v>94</v>
      </c>
      <c r="J29" s="136"/>
      <c r="K29" s="136"/>
      <c r="R29" s="137"/>
      <c r="AD29" s="74" t="s">
        <v>40</v>
      </c>
      <c r="AE29" s="74" t="s">
        <v>21</v>
      </c>
    </row>
    <row r="30" spans="2:37" ht="14.45" x14ac:dyDescent="0.3">
      <c r="B30" s="120" t="s">
        <v>95</v>
      </c>
      <c r="C30" s="111"/>
      <c r="D30" s="132"/>
      <c r="E30" s="132"/>
      <c r="F30" s="132"/>
      <c r="G30" s="132"/>
      <c r="H30" s="176"/>
      <c r="I30" s="176"/>
      <c r="J30" s="136"/>
      <c r="K30" s="136"/>
      <c r="AD30" s="74">
        <v>16</v>
      </c>
      <c r="AE30" s="75">
        <f ca="1">10^(FORECAST(AD30,LOG(OFFSET(AD$8:AD$25,MATCH(AD30,AK$8:AK$25,-1)-1,0,2)),OFFSET(AK$8:AK$25,MATCH(AD30,AK$8:AK$25,-1)-1,0,2)))</f>
        <v>0.36836860305192043</v>
      </c>
    </row>
    <row r="31" spans="2:37" ht="14.45" x14ac:dyDescent="0.3">
      <c r="B31" s="120" t="s">
        <v>96</v>
      </c>
      <c r="C31" s="113"/>
      <c r="D31" s="132"/>
      <c r="E31" s="132"/>
      <c r="F31" s="132"/>
      <c r="G31" s="132"/>
      <c r="H31" s="176"/>
      <c r="I31" s="177"/>
      <c r="J31" s="136"/>
      <c r="K31" s="136"/>
      <c r="AD31" s="74">
        <v>50</v>
      </c>
      <c r="AE31" s="75">
        <f ca="1">10^(FORECAST(AD31,LOG(OFFSET(AD$8:AD$25,MATCH(AD31,AK$8:AK$25,-1)-1,0,2)),OFFSET(AK$8:AK$25,MATCH(AD31,AK$8:AK$25,-1)-1,0,2)))</f>
        <v>8.6082988234774689</v>
      </c>
    </row>
    <row r="32" spans="2:37" ht="14.45" x14ac:dyDescent="0.3">
      <c r="B32" s="120" t="s">
        <v>97</v>
      </c>
      <c r="C32" s="113"/>
      <c r="D32" s="132"/>
      <c r="E32" s="132"/>
      <c r="F32" s="132"/>
      <c r="G32" s="132"/>
      <c r="H32" s="176"/>
      <c r="I32" s="177"/>
      <c r="J32" s="136"/>
      <c r="K32" s="136"/>
      <c r="AD32" s="74">
        <v>84</v>
      </c>
      <c r="AE32" s="75">
        <f ca="1">10^(FORECAST(AD32,LOG(OFFSET(AD$8:AD$25,MATCH(AD32,AK$8:AK$25,-1)-1,0,2)),OFFSET(AK$8:AK$25,MATCH(AD32,AK$8:AK$25,-1)-1,0,2)))</f>
        <v>25.378305631886352</v>
      </c>
    </row>
    <row r="33" spans="2:37" ht="14.45" x14ac:dyDescent="0.3">
      <c r="B33" s="120" t="s">
        <v>98</v>
      </c>
      <c r="C33" s="113"/>
      <c r="D33" s="138"/>
      <c r="E33" s="138"/>
      <c r="F33" s="138"/>
      <c r="G33" s="138"/>
      <c r="H33" s="177"/>
      <c r="I33" s="177"/>
      <c r="J33" s="136"/>
      <c r="K33" s="136"/>
      <c r="AD33" s="74">
        <v>90</v>
      </c>
      <c r="AE33" s="75">
        <f ca="1">10^(FORECAST(AD33,LOG(OFFSET(AD$8:AD$25,MATCH(AD33,AK$8:AK$25,-1)-1,0,2)),OFFSET(AK$8:AK$25,MATCH(AD33,AK$8:AK$25,-1)-1,0,2)))</f>
        <v>29.180432326244446</v>
      </c>
      <c r="AG33" s="1"/>
      <c r="AH33" s="1"/>
      <c r="AI33" s="1"/>
      <c r="AJ33" s="1"/>
      <c r="AK33" s="1"/>
    </row>
    <row r="34" spans="2:37" x14ac:dyDescent="0.25">
      <c r="B34" s="139" t="s">
        <v>99</v>
      </c>
      <c r="C34" s="113"/>
      <c r="D34" s="113"/>
      <c r="E34" s="113"/>
      <c r="F34" s="138"/>
      <c r="G34" s="138"/>
      <c r="H34" s="177"/>
      <c r="I34" s="177">
        <f t="shared" ref="I34:I40" si="8">I33+H34</f>
        <v>0</v>
      </c>
      <c r="J34" s="8"/>
      <c r="K34" s="8"/>
      <c r="AD34" s="77"/>
      <c r="AE34" s="77"/>
      <c r="AF34" s="1"/>
      <c r="AG34" s="1"/>
      <c r="AH34" s="1"/>
      <c r="AI34" s="1"/>
      <c r="AJ34" s="1"/>
      <c r="AK34" s="1"/>
    </row>
    <row r="35" spans="2:37" x14ac:dyDescent="0.25">
      <c r="B35" s="139" t="s">
        <v>100</v>
      </c>
      <c r="C35" s="113"/>
      <c r="D35" s="113"/>
      <c r="E35" s="113"/>
      <c r="F35" s="138"/>
      <c r="G35" s="138"/>
      <c r="H35" s="177"/>
      <c r="I35" s="177">
        <f t="shared" si="8"/>
        <v>0</v>
      </c>
      <c r="J35" s="8"/>
      <c r="K35" s="8"/>
      <c r="AD35" s="74" t="s">
        <v>41</v>
      </c>
      <c r="AE35" s="75">
        <f ca="1">0.5*(AE32/AE31+AE31/AE30)</f>
        <v>13.15841512941037</v>
      </c>
      <c r="AF35" s="1"/>
      <c r="AG35" s="1"/>
      <c r="AH35" s="1"/>
      <c r="AI35" s="1"/>
      <c r="AJ35" s="1"/>
      <c r="AK35" s="1"/>
    </row>
    <row r="36" spans="2:37" x14ac:dyDescent="0.25">
      <c r="B36" s="113">
        <v>45</v>
      </c>
      <c r="C36" s="113">
        <v>1.7</v>
      </c>
      <c r="D36" s="113">
        <v>3.5</v>
      </c>
      <c r="E36" s="113"/>
      <c r="F36" s="138">
        <f t="shared" ref="F36:F41" si="9">+D36</f>
        <v>3.5</v>
      </c>
      <c r="G36" s="138">
        <f t="shared" ref="G36:G41" si="10">+C36</f>
        <v>1.7</v>
      </c>
      <c r="H36" s="177">
        <f>+F36-G36</f>
        <v>1.8</v>
      </c>
      <c r="I36" s="177">
        <f t="shared" si="8"/>
        <v>1.8</v>
      </c>
      <c r="J36" s="8"/>
      <c r="K36" s="8"/>
      <c r="AD36" s="77" t="s">
        <v>128</v>
      </c>
      <c r="AE36" s="75">
        <f>100-AK20</f>
        <v>63.711591570379191</v>
      </c>
      <c r="AF36" s="1"/>
      <c r="AG36" s="1"/>
      <c r="AH36" s="1"/>
      <c r="AI36" s="1"/>
      <c r="AJ36" s="1"/>
      <c r="AK36" s="1"/>
    </row>
    <row r="37" spans="2:37" x14ac:dyDescent="0.25">
      <c r="B37" s="113">
        <v>32</v>
      </c>
      <c r="C37" s="113">
        <v>1.7</v>
      </c>
      <c r="D37" s="113">
        <v>24.7</v>
      </c>
      <c r="E37" s="113"/>
      <c r="F37" s="138">
        <f t="shared" si="9"/>
        <v>24.7</v>
      </c>
      <c r="G37" s="138">
        <f t="shared" si="10"/>
        <v>1.7</v>
      </c>
      <c r="H37" s="177">
        <f t="shared" ref="H37:H42" si="11">D37-C37</f>
        <v>23</v>
      </c>
      <c r="I37" s="177">
        <f t="shared" si="8"/>
        <v>24.8</v>
      </c>
      <c r="J37" s="8"/>
      <c r="K37" s="8"/>
      <c r="AD37" s="77" t="s">
        <v>42</v>
      </c>
      <c r="AE37" s="75">
        <f>AK20-AK25</f>
        <v>36.033752931869081</v>
      </c>
      <c r="AF37" s="1"/>
      <c r="AG37" s="1"/>
      <c r="AH37" s="1"/>
      <c r="AI37" s="1"/>
      <c r="AJ37" s="1"/>
      <c r="AK37" s="1"/>
    </row>
    <row r="38" spans="2:37" x14ac:dyDescent="0.25">
      <c r="B38" s="113">
        <v>22.5</v>
      </c>
      <c r="C38" s="113">
        <v>1.7</v>
      </c>
      <c r="D38" s="113">
        <v>63.9</v>
      </c>
      <c r="E38" s="113"/>
      <c r="F38" s="138">
        <f t="shared" si="9"/>
        <v>63.9</v>
      </c>
      <c r="G38" s="138">
        <f t="shared" si="10"/>
        <v>1.7</v>
      </c>
      <c r="H38" s="177">
        <f t="shared" si="11"/>
        <v>62.199999999999996</v>
      </c>
      <c r="I38" s="177">
        <f t="shared" si="8"/>
        <v>87</v>
      </c>
      <c r="J38" s="8"/>
      <c r="K38" s="8"/>
      <c r="AD38" s="74" t="s">
        <v>129</v>
      </c>
      <c r="AE38" s="75">
        <f>AK25</f>
        <v>0.25465549775172497</v>
      </c>
      <c r="AF38" s="1"/>
      <c r="AG38" s="1"/>
      <c r="AH38" s="1"/>
      <c r="AI38" s="1"/>
      <c r="AJ38" s="1"/>
      <c r="AK38" s="1"/>
    </row>
    <row r="39" spans="2:37" x14ac:dyDescent="0.25">
      <c r="B39" s="113">
        <v>16</v>
      </c>
      <c r="C39" s="113">
        <v>1.7</v>
      </c>
      <c r="D39" s="113">
        <v>64</v>
      </c>
      <c r="E39" s="113"/>
      <c r="F39" s="138">
        <f t="shared" si="9"/>
        <v>64</v>
      </c>
      <c r="G39" s="138">
        <f t="shared" si="10"/>
        <v>1.7</v>
      </c>
      <c r="H39" s="177">
        <f t="shared" si="11"/>
        <v>62.3</v>
      </c>
      <c r="I39" s="177">
        <f t="shared" si="8"/>
        <v>149.30000000000001</v>
      </c>
      <c r="J39" s="140"/>
      <c r="K39" s="8"/>
      <c r="AD39" s="1"/>
      <c r="AE39" s="1"/>
      <c r="AF39" s="1"/>
      <c r="AG39" s="1"/>
      <c r="AH39" s="1"/>
      <c r="AI39" s="1"/>
      <c r="AJ39" s="1"/>
      <c r="AK39" s="1"/>
    </row>
    <row r="40" spans="2:37" x14ac:dyDescent="0.25">
      <c r="B40" s="120" t="s">
        <v>101</v>
      </c>
      <c r="C40" s="113">
        <v>66.400000000000006</v>
      </c>
      <c r="D40" s="113">
        <v>362.5</v>
      </c>
      <c r="E40" s="113"/>
      <c r="F40" s="138">
        <f t="shared" si="9"/>
        <v>362.5</v>
      </c>
      <c r="G40" s="138">
        <f t="shared" si="10"/>
        <v>66.400000000000006</v>
      </c>
      <c r="H40" s="177">
        <f t="shared" si="11"/>
        <v>296.10000000000002</v>
      </c>
      <c r="I40" s="177">
        <f t="shared" si="8"/>
        <v>445.40000000000003</v>
      </c>
      <c r="J40" s="8" t="s">
        <v>102</v>
      </c>
      <c r="K40" s="8"/>
    </row>
    <row r="41" spans="2:37" x14ac:dyDescent="0.25">
      <c r="B41" s="120" t="s">
        <v>77</v>
      </c>
      <c r="C41" s="113">
        <f>SUM(C33:C40)</f>
        <v>73.2</v>
      </c>
      <c r="D41" s="113">
        <f>SUM(D36:D40)</f>
        <v>518.6</v>
      </c>
      <c r="E41" s="135"/>
      <c r="F41" s="138">
        <f t="shared" si="9"/>
        <v>518.6</v>
      </c>
      <c r="G41" s="138">
        <f t="shared" si="10"/>
        <v>73.2</v>
      </c>
      <c r="H41" s="177">
        <f t="shared" si="11"/>
        <v>445.40000000000003</v>
      </c>
      <c r="I41" s="177">
        <f>+I40</f>
        <v>445.40000000000003</v>
      </c>
      <c r="J41" s="37" t="s">
        <v>103</v>
      </c>
      <c r="K41" s="8"/>
    </row>
    <row r="42" spans="2:37" ht="57.75" x14ac:dyDescent="0.25">
      <c r="B42" s="141" t="s">
        <v>104</v>
      </c>
      <c r="C42" s="142">
        <v>1.7</v>
      </c>
      <c r="D42" s="142">
        <v>22.4</v>
      </c>
      <c r="E42" s="143"/>
      <c r="F42" s="144"/>
      <c r="G42" s="145"/>
      <c r="H42" s="178">
        <f t="shared" si="11"/>
        <v>20.7</v>
      </c>
      <c r="I42" s="179"/>
      <c r="J42" s="8"/>
      <c r="K42" s="8"/>
    </row>
    <row r="43" spans="2:37" x14ac:dyDescent="0.25">
      <c r="B43" s="146" t="s">
        <v>105</v>
      </c>
      <c r="J43" s="8"/>
      <c r="K43" s="8"/>
    </row>
    <row r="44" spans="2:37" x14ac:dyDescent="0.25">
      <c r="B44" s="146"/>
      <c r="J44" s="8"/>
      <c r="K44" s="8"/>
    </row>
    <row r="45" spans="2:37" ht="15.75" x14ac:dyDescent="0.25">
      <c r="B45" s="147" t="s">
        <v>106</v>
      </c>
      <c r="C45" s="147"/>
      <c r="D45" s="147"/>
      <c r="E45" s="148" t="s">
        <v>131</v>
      </c>
      <c r="F45" s="114"/>
      <c r="G45" s="149" t="s">
        <v>107</v>
      </c>
      <c r="H45" s="150">
        <f>+(E25-H41)/E25</f>
        <v>9.56193017567257E-3</v>
      </c>
      <c r="I45" s="148"/>
      <c r="J45" s="8"/>
      <c r="K45" s="8"/>
      <c r="R45" s="151"/>
    </row>
    <row r="46" spans="2:37" x14ac:dyDescent="0.25">
      <c r="B46" s="152" t="s">
        <v>108</v>
      </c>
      <c r="C46" s="152"/>
      <c r="D46" s="152"/>
      <c r="E46" s="149" t="s">
        <v>132</v>
      </c>
    </row>
    <row r="47" spans="2:37" x14ac:dyDescent="0.25">
      <c r="B47" s="122"/>
      <c r="C47" s="122"/>
      <c r="D47" s="122"/>
    </row>
    <row r="48" spans="2:37" ht="33.75" customHeight="1" x14ac:dyDescent="0.25">
      <c r="B48" s="187" t="s">
        <v>109</v>
      </c>
      <c r="C48" s="187"/>
      <c r="D48" s="187"/>
      <c r="E48" s="187"/>
      <c r="F48" s="187"/>
      <c r="G48" s="187"/>
      <c r="H48" s="187"/>
      <c r="I48" s="187"/>
      <c r="J48" s="187"/>
      <c r="K48" s="187"/>
      <c r="L48" s="187"/>
      <c r="M48" s="187"/>
      <c r="N48" s="187"/>
      <c r="O48" s="187"/>
      <c r="P48" s="187"/>
      <c r="Q48" s="187"/>
    </row>
    <row r="49" spans="2:11" x14ac:dyDescent="0.25">
      <c r="B49" s="153"/>
      <c r="C49" s="153"/>
      <c r="D49" s="153"/>
      <c r="E49" s="153"/>
      <c r="F49" s="153"/>
      <c r="G49" s="153"/>
      <c r="H49" s="153"/>
      <c r="I49" s="153"/>
      <c r="J49" s="153"/>
      <c r="K49" s="154"/>
    </row>
    <row r="50" spans="2:11" x14ac:dyDescent="0.25">
      <c r="B50" s="7" t="s">
        <v>110</v>
      </c>
      <c r="C50" s="7" t="s">
        <v>43</v>
      </c>
      <c r="F50" s="2" t="s">
        <v>111</v>
      </c>
      <c r="G50" s="155"/>
      <c r="H50" s="156">
        <v>234237</v>
      </c>
      <c r="J50" s="32" t="s">
        <v>112</v>
      </c>
      <c r="K50" s="32" t="s">
        <v>113</v>
      </c>
    </row>
    <row r="51" spans="2:11" x14ac:dyDescent="0.25">
      <c r="K51" s="121"/>
    </row>
    <row r="52" spans="2:11" x14ac:dyDescent="0.25">
      <c r="K52" s="121"/>
    </row>
    <row r="53" spans="2:11" x14ac:dyDescent="0.25">
      <c r="K53" s="121"/>
    </row>
    <row r="54" spans="2:11" x14ac:dyDescent="0.25">
      <c r="K54" s="121"/>
    </row>
    <row r="55" spans="2:11" x14ac:dyDescent="0.25">
      <c r="B55" s="8"/>
      <c r="C55" s="8"/>
    </row>
  </sheetData>
  <mergeCells count="2">
    <mergeCell ref="AD1:AK1"/>
    <mergeCell ref="B48:Q4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L4" workbookViewId="0">
      <selection activeCell="R59" sqref="R59"/>
    </sheetView>
  </sheetViews>
  <sheetFormatPr defaultRowHeight="15" x14ac:dyDescent="0.25"/>
  <sheetData>
    <row r="1" spans="2:33" x14ac:dyDescent="0.25">
      <c r="B1" s="1"/>
      <c r="C1" s="1"/>
      <c r="D1" s="1"/>
      <c r="E1" s="1"/>
      <c r="F1" s="1"/>
      <c r="G1" s="1"/>
      <c r="H1" s="3"/>
      <c r="I1" s="2"/>
      <c r="J1" s="2"/>
      <c r="K1" s="2"/>
      <c r="L1" s="2"/>
      <c r="M1" s="2"/>
      <c r="N1" s="2"/>
      <c r="O1" s="2"/>
      <c r="P1" s="2"/>
      <c r="Q1" s="2"/>
      <c r="R1" s="2"/>
      <c r="S1" s="2"/>
      <c r="T1" s="2"/>
      <c r="U1" s="1"/>
      <c r="V1" s="1"/>
      <c r="W1" s="1"/>
      <c r="X1" s="1"/>
      <c r="Y1" s="1"/>
      <c r="Z1" s="1"/>
      <c r="AA1" s="2"/>
      <c r="AB1" s="2"/>
      <c r="AC1" s="2"/>
      <c r="AD1" s="2"/>
      <c r="AE1" s="2"/>
      <c r="AF1" s="1"/>
      <c r="AG1" s="1"/>
    </row>
    <row r="2" spans="2:33" ht="23.25" x14ac:dyDescent="0.35">
      <c r="B2" s="78" t="s">
        <v>0</v>
      </c>
      <c r="C2" s="78"/>
      <c r="D2" s="78"/>
      <c r="E2" s="78"/>
      <c r="F2" s="78"/>
      <c r="G2" s="78"/>
      <c r="H2" s="78"/>
      <c r="I2" s="78"/>
      <c r="J2" s="78"/>
      <c r="K2" s="78"/>
      <c r="L2" s="78"/>
      <c r="M2" s="78"/>
      <c r="N2" s="78"/>
      <c r="O2" s="78"/>
      <c r="P2" s="78"/>
      <c r="Q2" s="78"/>
      <c r="R2" s="78"/>
      <c r="S2" s="78"/>
      <c r="T2" s="78"/>
      <c r="U2" s="78"/>
      <c r="V2" s="78"/>
      <c r="W2" s="1"/>
      <c r="X2" s="78" t="s">
        <v>0</v>
      </c>
      <c r="Y2" s="78"/>
      <c r="Z2" s="78"/>
      <c r="AA2" s="78"/>
      <c r="AB2" s="78"/>
      <c r="AC2" s="78"/>
      <c r="AD2" s="78"/>
      <c r="AE2" s="78"/>
      <c r="AF2" s="6"/>
      <c r="AG2" s="1"/>
    </row>
    <row r="3" spans="2:33" ht="23.25" x14ac:dyDescent="0.35">
      <c r="B3" s="4"/>
      <c r="C3" s="4"/>
      <c r="D3" s="4"/>
      <c r="E3" s="4"/>
      <c r="F3" s="4"/>
      <c r="G3" s="4"/>
      <c r="H3" s="5"/>
      <c r="I3" s="4"/>
      <c r="J3" s="4"/>
      <c r="K3" s="4"/>
      <c r="L3" s="4"/>
      <c r="M3" s="4"/>
      <c r="N3" s="4"/>
      <c r="O3" s="4"/>
      <c r="P3" s="4"/>
      <c r="Q3" s="4"/>
      <c r="R3" s="4"/>
      <c r="S3" s="4"/>
      <c r="T3" s="4"/>
      <c r="U3" s="6"/>
      <c r="V3" s="1"/>
      <c r="W3" s="1"/>
      <c r="X3" s="4"/>
      <c r="Y3" s="4"/>
      <c r="Z3" s="4"/>
      <c r="AA3" s="4"/>
      <c r="AB3" s="4"/>
      <c r="AC3" s="4"/>
      <c r="AD3" s="4"/>
      <c r="AE3" s="4"/>
      <c r="AF3" s="6"/>
      <c r="AG3" s="1"/>
    </row>
    <row r="4" spans="2:33" x14ac:dyDescent="0.25">
      <c r="B4" s="7" t="s">
        <v>1</v>
      </c>
      <c r="C4" s="7"/>
      <c r="D4" s="7" t="s">
        <v>2</v>
      </c>
      <c r="E4" s="7"/>
      <c r="F4" s="7"/>
      <c r="G4" s="7"/>
      <c r="H4" s="1"/>
      <c r="I4" s="1"/>
      <c r="J4" s="2"/>
      <c r="K4" s="7" t="s">
        <v>3</v>
      </c>
      <c r="L4" s="7" t="s">
        <v>4</v>
      </c>
      <c r="M4" s="7"/>
      <c r="N4" s="7"/>
      <c r="O4" s="7"/>
      <c r="P4" s="7"/>
      <c r="Q4" s="7"/>
      <c r="R4" s="7"/>
      <c r="S4" s="7"/>
      <c r="T4" s="7"/>
      <c r="U4" s="1"/>
      <c r="V4" s="1"/>
      <c r="W4" s="1"/>
      <c r="X4" s="8" t="s">
        <v>1</v>
      </c>
      <c r="Y4" s="7" t="s">
        <v>5</v>
      </c>
      <c r="Z4" s="7"/>
      <c r="AA4" s="2" t="s">
        <v>6</v>
      </c>
      <c r="AB4" s="7"/>
      <c r="AC4" s="7"/>
      <c r="AD4" s="7"/>
      <c r="AE4" s="1"/>
      <c r="AF4" s="1"/>
      <c r="AG4" s="1"/>
    </row>
    <row r="5" spans="2:33" x14ac:dyDescent="0.25">
      <c r="B5" s="9" t="s">
        <v>7</v>
      </c>
      <c r="C5" s="9"/>
      <c r="D5" s="9" t="s">
        <v>8</v>
      </c>
      <c r="E5" s="9"/>
      <c r="F5" s="9"/>
      <c r="G5" s="9"/>
      <c r="H5" s="1"/>
      <c r="I5" s="1"/>
      <c r="J5" s="2"/>
      <c r="K5" s="9" t="s">
        <v>9</v>
      </c>
      <c r="L5" s="9"/>
      <c r="M5" s="9"/>
      <c r="N5" s="9"/>
      <c r="O5" s="9"/>
      <c r="P5" s="9"/>
      <c r="Q5" s="9"/>
      <c r="R5" s="9"/>
      <c r="S5" s="9"/>
      <c r="T5" s="9"/>
      <c r="U5" s="1"/>
      <c r="V5" s="1"/>
      <c r="W5" s="1"/>
      <c r="X5" s="8" t="s">
        <v>7</v>
      </c>
      <c r="Y5" s="9"/>
      <c r="Z5" s="9"/>
      <c r="AA5" s="2" t="s">
        <v>10</v>
      </c>
      <c r="AB5" s="9"/>
      <c r="AC5" s="9"/>
      <c r="AD5" s="9"/>
      <c r="AE5" s="1"/>
      <c r="AF5" s="1"/>
      <c r="AG5" s="1"/>
    </row>
    <row r="6" spans="2:33" x14ac:dyDescent="0.25">
      <c r="B6" s="9" t="s">
        <v>11</v>
      </c>
      <c r="C6" s="9"/>
      <c r="D6" s="47">
        <v>74366</v>
      </c>
      <c r="E6" s="48">
        <v>0.50902777777777775</v>
      </c>
      <c r="F6" s="9"/>
      <c r="G6" s="9"/>
      <c r="H6" s="1"/>
      <c r="I6" s="1"/>
      <c r="J6" s="2"/>
      <c r="K6" s="9" t="s">
        <v>12</v>
      </c>
      <c r="L6" s="9"/>
      <c r="M6" s="9" t="s">
        <v>13</v>
      </c>
      <c r="N6" s="9"/>
      <c r="O6" s="9"/>
      <c r="P6" s="9"/>
      <c r="Q6" s="9"/>
      <c r="R6" s="9"/>
      <c r="S6" s="9"/>
      <c r="T6" s="9"/>
      <c r="U6" s="9"/>
      <c r="V6" s="9"/>
      <c r="W6" s="1"/>
      <c r="X6" s="8" t="s">
        <v>11</v>
      </c>
      <c r="Y6" s="9"/>
      <c r="Z6" s="9"/>
      <c r="AA6" s="8" t="s">
        <v>14</v>
      </c>
      <c r="AB6" s="9"/>
      <c r="AC6" s="9"/>
      <c r="AD6" s="36"/>
      <c r="AE6" s="1"/>
      <c r="AF6" s="1"/>
      <c r="AG6" s="1"/>
    </row>
    <row r="7" spans="2:33" x14ac:dyDescent="0.25">
      <c r="B7" s="9" t="s">
        <v>14</v>
      </c>
      <c r="C7" s="9"/>
      <c r="D7" s="9"/>
      <c r="E7" s="9"/>
      <c r="F7" s="9"/>
      <c r="G7" s="9"/>
      <c r="H7" s="1"/>
      <c r="I7" s="1"/>
      <c r="J7" s="10"/>
      <c r="K7" s="11" t="s">
        <v>15</v>
      </c>
      <c r="L7" s="11"/>
      <c r="M7" s="12"/>
      <c r="N7" s="12"/>
      <c r="O7" s="12"/>
      <c r="P7" s="12"/>
      <c r="Q7" s="9"/>
      <c r="R7" s="9"/>
      <c r="S7" s="9"/>
      <c r="T7" s="9"/>
      <c r="U7" s="9"/>
      <c r="V7" s="9"/>
      <c r="W7" s="1"/>
      <c r="X7" s="8"/>
      <c r="Y7" s="8"/>
      <c r="Z7" s="8"/>
      <c r="AA7" s="8" t="s">
        <v>16</v>
      </c>
      <c r="AB7" s="9"/>
      <c r="AC7" s="9"/>
      <c r="AD7" s="37"/>
      <c r="AE7" s="1"/>
      <c r="AF7" s="1"/>
      <c r="AG7" s="1"/>
    </row>
    <row r="8" spans="2:33" x14ac:dyDescent="0.25">
      <c r="B8" s="9" t="s">
        <v>16</v>
      </c>
      <c r="C8" s="9"/>
      <c r="D8" s="9" t="s">
        <v>17</v>
      </c>
      <c r="E8" s="9"/>
      <c r="F8" s="9"/>
      <c r="G8" s="9"/>
      <c r="H8" s="1"/>
      <c r="I8" s="1"/>
      <c r="J8" s="1"/>
      <c r="K8" s="9"/>
      <c r="L8" s="9"/>
      <c r="M8" s="9"/>
      <c r="N8" s="9"/>
      <c r="O8" s="9"/>
      <c r="P8" s="9"/>
      <c r="Q8" s="9"/>
      <c r="R8" s="9"/>
      <c r="S8" s="9"/>
      <c r="T8" s="9"/>
      <c r="U8" s="9"/>
      <c r="V8" s="9"/>
      <c r="W8" s="1"/>
      <c r="X8" s="8" t="s">
        <v>18</v>
      </c>
      <c r="Y8" s="8"/>
      <c r="Z8" s="8"/>
      <c r="AA8" s="38"/>
      <c r="AB8" s="37"/>
      <c r="AC8" s="37"/>
      <c r="AD8" s="37"/>
      <c r="AE8" s="1"/>
      <c r="AF8" s="1"/>
      <c r="AG8" s="1"/>
    </row>
    <row r="9" spans="2:33" x14ac:dyDescent="0.25">
      <c r="B9" s="9" t="s">
        <v>19</v>
      </c>
      <c r="C9" s="9"/>
      <c r="D9" s="9" t="s">
        <v>20</v>
      </c>
      <c r="E9" s="9"/>
      <c r="F9" s="9"/>
      <c r="G9" s="9"/>
      <c r="H9" s="3"/>
      <c r="I9" s="2"/>
      <c r="J9" s="2"/>
      <c r="K9" s="9"/>
      <c r="L9" s="9"/>
      <c r="M9" s="9"/>
      <c r="N9" s="9"/>
      <c r="O9" s="9"/>
      <c r="P9" s="9"/>
      <c r="Q9" s="9"/>
      <c r="R9" s="9"/>
      <c r="S9" s="9"/>
      <c r="T9" s="9"/>
      <c r="U9" s="9"/>
      <c r="V9" s="9"/>
      <c r="W9" s="1"/>
      <c r="X9" s="7"/>
      <c r="Y9" s="7"/>
      <c r="Z9" s="7"/>
      <c r="AA9" s="39"/>
      <c r="AB9" s="40"/>
      <c r="AC9" s="40"/>
      <c r="AD9" s="40"/>
      <c r="AE9" s="7"/>
      <c r="AF9" s="7"/>
      <c r="AG9" s="1"/>
    </row>
    <row r="10" spans="2:33" ht="15.75" x14ac:dyDescent="0.25">
      <c r="B10" s="13"/>
      <c r="C10" s="79"/>
      <c r="D10" s="79"/>
      <c r="E10" s="79"/>
      <c r="F10" s="79"/>
      <c r="G10" s="79"/>
      <c r="H10" s="79"/>
      <c r="I10" s="14"/>
      <c r="J10" s="14"/>
      <c r="K10" s="14"/>
      <c r="L10" s="14"/>
      <c r="M10" s="8"/>
      <c r="N10" s="13"/>
      <c r="O10" s="8"/>
      <c r="P10" s="8"/>
      <c r="Q10" s="8"/>
      <c r="R10" s="8"/>
      <c r="S10" s="8"/>
      <c r="T10" s="8"/>
      <c r="U10" s="8"/>
      <c r="V10" s="8"/>
      <c r="W10" s="8"/>
      <c r="X10" s="9"/>
      <c r="Y10" s="9"/>
      <c r="Z10" s="9"/>
      <c r="AA10" s="11"/>
      <c r="AB10" s="12"/>
      <c r="AC10" s="12"/>
      <c r="AD10" s="12"/>
      <c r="AE10" s="9"/>
      <c r="AF10" s="9"/>
      <c r="AG10" s="2"/>
    </row>
    <row r="11" spans="2:33" ht="32.25" thickBot="1" x14ac:dyDescent="0.3">
      <c r="B11" s="15" t="s">
        <v>21</v>
      </c>
      <c r="C11" s="80" t="s">
        <v>22</v>
      </c>
      <c r="D11" s="80"/>
      <c r="E11" s="80"/>
      <c r="F11" s="80"/>
      <c r="G11" s="16" t="s">
        <v>23</v>
      </c>
      <c r="H11" s="16" t="s">
        <v>24</v>
      </c>
      <c r="I11" s="15" t="s">
        <v>21</v>
      </c>
      <c r="J11" s="80" t="s">
        <v>25</v>
      </c>
      <c r="K11" s="80"/>
      <c r="L11" s="80"/>
      <c r="M11" s="80"/>
      <c r="N11" s="16" t="s">
        <v>23</v>
      </c>
      <c r="O11" s="16" t="s">
        <v>24</v>
      </c>
      <c r="P11" s="15" t="s">
        <v>21</v>
      </c>
      <c r="Q11" s="80" t="s">
        <v>26</v>
      </c>
      <c r="R11" s="80"/>
      <c r="S11" s="80"/>
      <c r="T11" s="80"/>
      <c r="U11" s="16" t="s">
        <v>23</v>
      </c>
      <c r="V11" s="16" t="s">
        <v>24</v>
      </c>
      <c r="W11" s="50" t="s">
        <v>27</v>
      </c>
      <c r="X11" s="9"/>
      <c r="Y11" s="9"/>
      <c r="Z11" s="9"/>
      <c r="AA11" s="11"/>
      <c r="AB11" s="12"/>
      <c r="AC11" s="12"/>
      <c r="AD11" s="12"/>
      <c r="AE11" s="9"/>
      <c r="AF11" s="9"/>
      <c r="AG11" s="2"/>
    </row>
    <row r="12" spans="2:33" ht="14.45" x14ac:dyDescent="0.3">
      <c r="B12" s="52" t="s">
        <v>28</v>
      </c>
      <c r="C12" s="81"/>
      <c r="D12" s="82"/>
      <c r="E12" s="82"/>
      <c r="F12" s="83"/>
      <c r="G12" s="53">
        <v>1</v>
      </c>
      <c r="H12" s="54">
        <f>G12</f>
        <v>1</v>
      </c>
      <c r="I12" s="55" t="s">
        <v>28</v>
      </c>
      <c r="J12" s="81"/>
      <c r="K12" s="82"/>
      <c r="L12" s="82"/>
      <c r="M12" s="83"/>
      <c r="N12" s="17">
        <v>6</v>
      </c>
      <c r="O12" s="54">
        <f>N12</f>
        <v>6</v>
      </c>
      <c r="P12" s="55" t="s">
        <v>28</v>
      </c>
      <c r="Q12" s="81"/>
      <c r="R12" s="82"/>
      <c r="S12" s="82"/>
      <c r="T12" s="83"/>
      <c r="U12" s="56">
        <v>8</v>
      </c>
      <c r="V12" s="54">
        <f>U12</f>
        <v>8</v>
      </c>
      <c r="W12" s="20"/>
      <c r="X12" s="9"/>
      <c r="Y12" s="9"/>
      <c r="Z12" s="9"/>
      <c r="AA12" s="11"/>
      <c r="AB12" s="12"/>
      <c r="AC12" s="12"/>
      <c r="AD12" s="12"/>
      <c r="AE12" s="9"/>
      <c r="AF12" s="9"/>
      <c r="AG12" s="2"/>
    </row>
    <row r="13" spans="2:33" x14ac:dyDescent="0.25">
      <c r="B13" s="57">
        <v>2</v>
      </c>
      <c r="C13" s="84"/>
      <c r="D13" s="85"/>
      <c r="E13" s="85"/>
      <c r="F13" s="86"/>
      <c r="G13" s="58"/>
      <c r="H13" s="59">
        <v>0</v>
      </c>
      <c r="I13" s="57">
        <v>2</v>
      </c>
      <c r="J13" s="84"/>
      <c r="K13" s="85"/>
      <c r="L13" s="85"/>
      <c r="M13" s="86"/>
      <c r="N13" s="60">
        <v>1</v>
      </c>
      <c r="O13" s="59">
        <v>0</v>
      </c>
      <c r="P13" s="57">
        <v>2</v>
      </c>
      <c r="Q13" s="84"/>
      <c r="R13" s="85"/>
      <c r="S13" s="85"/>
      <c r="T13" s="86"/>
      <c r="U13" s="61"/>
      <c r="V13" s="59">
        <v>0</v>
      </c>
      <c r="W13" s="49">
        <f>AVERAGE(V13,O13,H13)</f>
        <v>0</v>
      </c>
      <c r="X13" s="9"/>
      <c r="Y13" s="9"/>
      <c r="Z13" s="9"/>
      <c r="AA13" s="11"/>
      <c r="AB13" s="12"/>
      <c r="AC13" s="12"/>
      <c r="AD13" s="12"/>
      <c r="AE13" s="9"/>
      <c r="AF13" s="9"/>
      <c r="AG13" s="2"/>
    </row>
    <row r="14" spans="2:33" x14ac:dyDescent="0.25">
      <c r="B14" s="62">
        <v>2.8</v>
      </c>
      <c r="C14" s="84"/>
      <c r="D14" s="85"/>
      <c r="E14" s="85"/>
      <c r="F14" s="86"/>
      <c r="G14" s="58"/>
      <c r="H14" s="59">
        <f>100*G13/SUM(G$13:G$28)</f>
        <v>0</v>
      </c>
      <c r="I14" s="62">
        <v>2.8</v>
      </c>
      <c r="J14" s="84"/>
      <c r="K14" s="85"/>
      <c r="L14" s="85"/>
      <c r="M14" s="86"/>
      <c r="N14" s="60"/>
      <c r="O14" s="59">
        <f>100*N13/SUM(N$13:N$28)</f>
        <v>1</v>
      </c>
      <c r="P14" s="62">
        <v>2.8</v>
      </c>
      <c r="Q14" s="84"/>
      <c r="R14" s="85"/>
      <c r="S14" s="85"/>
      <c r="T14" s="86"/>
      <c r="U14" s="61"/>
      <c r="V14" s="59">
        <f>100*U13/SUM(U$13:U$28)</f>
        <v>0</v>
      </c>
      <c r="W14" s="49">
        <f t="shared" ref="W14:W25" si="0">AVERAGE(V14,O14,H14)</f>
        <v>0.33333333333333331</v>
      </c>
      <c r="X14" s="9"/>
      <c r="Y14" s="9"/>
      <c r="Z14" s="9"/>
      <c r="AA14" s="11"/>
      <c r="AB14" s="12"/>
      <c r="AC14" s="12"/>
      <c r="AD14" s="12"/>
      <c r="AE14" s="9"/>
      <c r="AF14" s="9"/>
      <c r="AG14" s="2"/>
    </row>
    <row r="15" spans="2:33" x14ac:dyDescent="0.25">
      <c r="B15" s="57">
        <v>4</v>
      </c>
      <c r="C15" s="84"/>
      <c r="D15" s="85"/>
      <c r="E15" s="85"/>
      <c r="F15" s="86"/>
      <c r="G15" s="58">
        <v>3</v>
      </c>
      <c r="H15" s="59">
        <f>100*G14/SUM(G$13:G$28)+H14</f>
        <v>0</v>
      </c>
      <c r="I15" s="57">
        <v>4</v>
      </c>
      <c r="J15" s="84"/>
      <c r="K15" s="85"/>
      <c r="L15" s="85"/>
      <c r="M15" s="86"/>
      <c r="N15" s="60">
        <v>1</v>
      </c>
      <c r="O15" s="59">
        <f>100*N14/SUM(N$13:N$28)+O14</f>
        <v>1</v>
      </c>
      <c r="P15" s="57">
        <v>4</v>
      </c>
      <c r="Q15" s="84"/>
      <c r="R15" s="85"/>
      <c r="S15" s="85"/>
      <c r="T15" s="86"/>
      <c r="U15" s="61">
        <v>5</v>
      </c>
      <c r="V15" s="59">
        <f>100*U14/SUM(U$13:U$28)+V14</f>
        <v>0</v>
      </c>
      <c r="W15" s="49">
        <f t="shared" si="0"/>
        <v>0.33333333333333331</v>
      </c>
      <c r="X15" s="9"/>
      <c r="Y15" s="9"/>
      <c r="Z15" s="9"/>
      <c r="AA15" s="11"/>
      <c r="AB15" s="9"/>
      <c r="AC15" s="9"/>
      <c r="AD15" s="9"/>
      <c r="AE15" s="9"/>
      <c r="AF15" s="9"/>
      <c r="AG15" s="2"/>
    </row>
    <row r="16" spans="2:33" ht="18" x14ac:dyDescent="0.25">
      <c r="B16" s="57">
        <v>5.6</v>
      </c>
      <c r="C16" s="84"/>
      <c r="D16" s="85"/>
      <c r="E16" s="85"/>
      <c r="F16" s="86"/>
      <c r="G16" s="58">
        <v>11</v>
      </c>
      <c r="H16" s="59">
        <f t="shared" ref="H16:H28" si="1">100*G15/SUM(G$13:G$28)+H15</f>
        <v>3</v>
      </c>
      <c r="I16" s="57">
        <v>5.6</v>
      </c>
      <c r="J16" s="84"/>
      <c r="K16" s="85"/>
      <c r="L16" s="85"/>
      <c r="M16" s="86"/>
      <c r="N16" s="60">
        <v>4</v>
      </c>
      <c r="O16" s="59">
        <f t="shared" ref="O16:O28" si="2">100*N15/SUM(N$13:N$28)+O15</f>
        <v>2</v>
      </c>
      <c r="P16" s="57">
        <v>5.6</v>
      </c>
      <c r="Q16" s="84"/>
      <c r="R16" s="85"/>
      <c r="S16" s="85"/>
      <c r="T16" s="86"/>
      <c r="U16" s="61">
        <v>5</v>
      </c>
      <c r="V16" s="59">
        <f t="shared" ref="V16:V28" si="3">100*U15/SUM(U$13:U$28)+V15</f>
        <v>5</v>
      </c>
      <c r="W16" s="49">
        <f t="shared" si="0"/>
        <v>3.3333333333333335</v>
      </c>
      <c r="X16" s="41" t="s">
        <v>29</v>
      </c>
      <c r="Y16" s="25"/>
      <c r="Z16" s="25"/>
      <c r="AA16" s="34"/>
      <c r="AB16" s="35"/>
      <c r="AC16" s="35"/>
      <c r="AD16" s="35"/>
      <c r="AE16" s="35"/>
      <c r="AF16" s="35"/>
      <c r="AG16" s="2"/>
    </row>
    <row r="17" spans="2:33" x14ac:dyDescent="0.25">
      <c r="B17" s="57">
        <v>8</v>
      </c>
      <c r="C17" s="84"/>
      <c r="D17" s="85"/>
      <c r="E17" s="85"/>
      <c r="F17" s="86"/>
      <c r="G17" s="58">
        <v>8</v>
      </c>
      <c r="H17" s="59">
        <f t="shared" si="1"/>
        <v>14</v>
      </c>
      <c r="I17" s="57">
        <v>8</v>
      </c>
      <c r="J17" s="84"/>
      <c r="K17" s="85"/>
      <c r="L17" s="85"/>
      <c r="M17" s="86"/>
      <c r="N17" s="60">
        <v>10</v>
      </c>
      <c r="O17" s="59">
        <f t="shared" si="2"/>
        <v>6</v>
      </c>
      <c r="P17" s="57">
        <v>8</v>
      </c>
      <c r="Q17" s="84"/>
      <c r="R17" s="85"/>
      <c r="S17" s="85"/>
      <c r="T17" s="86"/>
      <c r="U17" s="61">
        <v>15</v>
      </c>
      <c r="V17" s="59">
        <f t="shared" si="3"/>
        <v>10</v>
      </c>
      <c r="W17" s="49">
        <f t="shared" si="0"/>
        <v>10</v>
      </c>
      <c r="X17" s="35" t="s">
        <v>30</v>
      </c>
      <c r="Y17" s="90" t="s">
        <v>31</v>
      </c>
      <c r="Z17" s="90"/>
      <c r="AA17" s="90"/>
      <c r="AB17" s="90"/>
      <c r="AC17" s="90"/>
      <c r="AD17" s="90"/>
      <c r="AE17" s="90"/>
      <c r="AF17" s="90"/>
      <c r="AG17" s="8"/>
    </row>
    <row r="18" spans="2:33" x14ac:dyDescent="0.25">
      <c r="B18" s="57">
        <v>11</v>
      </c>
      <c r="C18" s="84"/>
      <c r="D18" s="85"/>
      <c r="E18" s="85"/>
      <c r="F18" s="86"/>
      <c r="G18" s="58">
        <v>17</v>
      </c>
      <c r="H18" s="59">
        <f t="shared" si="1"/>
        <v>22</v>
      </c>
      <c r="I18" s="57">
        <v>11</v>
      </c>
      <c r="J18" s="84"/>
      <c r="K18" s="85"/>
      <c r="L18" s="85"/>
      <c r="M18" s="86"/>
      <c r="N18" s="60">
        <v>29</v>
      </c>
      <c r="O18" s="59">
        <f t="shared" si="2"/>
        <v>16</v>
      </c>
      <c r="P18" s="57">
        <v>11</v>
      </c>
      <c r="Q18" s="84"/>
      <c r="R18" s="85"/>
      <c r="S18" s="85"/>
      <c r="T18" s="86"/>
      <c r="U18" s="61">
        <v>23</v>
      </c>
      <c r="V18" s="59">
        <f t="shared" si="3"/>
        <v>25</v>
      </c>
      <c r="W18" s="49">
        <f>AVERAGE(V18,O18,H18)</f>
        <v>21</v>
      </c>
      <c r="X18" s="42"/>
      <c r="Y18" s="87"/>
      <c r="Z18" s="88"/>
      <c r="AA18" s="88"/>
      <c r="AB18" s="88"/>
      <c r="AC18" s="88"/>
      <c r="AD18" s="88"/>
      <c r="AE18" s="88"/>
      <c r="AF18" s="89"/>
      <c r="AG18" s="18"/>
    </row>
    <row r="19" spans="2:33" x14ac:dyDescent="0.25">
      <c r="B19" s="57">
        <v>16</v>
      </c>
      <c r="C19" s="84"/>
      <c r="D19" s="85"/>
      <c r="E19" s="85"/>
      <c r="F19" s="86"/>
      <c r="G19" s="58">
        <v>26</v>
      </c>
      <c r="H19" s="59">
        <f t="shared" si="1"/>
        <v>39</v>
      </c>
      <c r="I19" s="57">
        <v>16</v>
      </c>
      <c r="J19" s="84"/>
      <c r="K19" s="85"/>
      <c r="L19" s="85"/>
      <c r="M19" s="86"/>
      <c r="N19" s="60">
        <v>26</v>
      </c>
      <c r="O19" s="59">
        <f t="shared" si="2"/>
        <v>45</v>
      </c>
      <c r="P19" s="57">
        <v>16</v>
      </c>
      <c r="Q19" s="84"/>
      <c r="R19" s="85"/>
      <c r="S19" s="85"/>
      <c r="T19" s="86"/>
      <c r="U19" s="61">
        <v>20</v>
      </c>
      <c r="V19" s="59">
        <f t="shared" si="3"/>
        <v>48</v>
      </c>
      <c r="W19" s="49">
        <f t="shared" si="0"/>
        <v>44</v>
      </c>
      <c r="X19" s="42"/>
      <c r="Y19" s="87"/>
      <c r="Z19" s="88"/>
      <c r="AA19" s="88"/>
      <c r="AB19" s="88"/>
      <c r="AC19" s="88"/>
      <c r="AD19" s="88"/>
      <c r="AE19" s="88"/>
      <c r="AF19" s="89"/>
      <c r="AG19" s="18"/>
    </row>
    <row r="20" spans="2:33" x14ac:dyDescent="0.25">
      <c r="B20" s="57">
        <v>22.5</v>
      </c>
      <c r="C20" s="84"/>
      <c r="D20" s="85"/>
      <c r="E20" s="85"/>
      <c r="F20" s="86"/>
      <c r="G20" s="58">
        <v>30</v>
      </c>
      <c r="H20" s="59">
        <f t="shared" si="1"/>
        <v>65</v>
      </c>
      <c r="I20" s="57">
        <v>22.5</v>
      </c>
      <c r="J20" s="84"/>
      <c r="K20" s="85"/>
      <c r="L20" s="85"/>
      <c r="M20" s="86"/>
      <c r="N20" s="60">
        <v>20</v>
      </c>
      <c r="O20" s="59">
        <f t="shared" si="2"/>
        <v>71</v>
      </c>
      <c r="P20" s="57">
        <v>22.5</v>
      </c>
      <c r="Q20" s="84"/>
      <c r="R20" s="85"/>
      <c r="S20" s="85"/>
      <c r="T20" s="86"/>
      <c r="U20" s="61">
        <v>20</v>
      </c>
      <c r="V20" s="59">
        <f t="shared" si="3"/>
        <v>68</v>
      </c>
      <c r="W20" s="49">
        <f t="shared" si="0"/>
        <v>68</v>
      </c>
      <c r="X20" s="20"/>
      <c r="Y20" s="87"/>
      <c r="Z20" s="88"/>
      <c r="AA20" s="88"/>
      <c r="AB20" s="88"/>
      <c r="AC20" s="88"/>
      <c r="AD20" s="88"/>
      <c r="AE20" s="88"/>
      <c r="AF20" s="89"/>
      <c r="AG20" s="18"/>
    </row>
    <row r="21" spans="2:33" x14ac:dyDescent="0.25">
      <c r="B21" s="57">
        <v>32</v>
      </c>
      <c r="C21" s="84"/>
      <c r="D21" s="85"/>
      <c r="E21" s="85"/>
      <c r="F21" s="86"/>
      <c r="G21" s="58">
        <v>4</v>
      </c>
      <c r="H21" s="59">
        <f t="shared" si="1"/>
        <v>95</v>
      </c>
      <c r="I21" s="57">
        <v>32</v>
      </c>
      <c r="J21" s="84"/>
      <c r="K21" s="85"/>
      <c r="L21" s="85"/>
      <c r="M21" s="86"/>
      <c r="N21" s="60">
        <v>9</v>
      </c>
      <c r="O21" s="59">
        <f>100*N20/SUM(N$13:N$28)+O20</f>
        <v>91</v>
      </c>
      <c r="P21" s="57">
        <v>32</v>
      </c>
      <c r="Q21" s="84"/>
      <c r="R21" s="85"/>
      <c r="S21" s="85"/>
      <c r="T21" s="86"/>
      <c r="U21" s="61">
        <v>10</v>
      </c>
      <c r="V21" s="59">
        <f t="shared" si="3"/>
        <v>88</v>
      </c>
      <c r="W21" s="49">
        <f t="shared" si="0"/>
        <v>91.333333333333329</v>
      </c>
      <c r="X21" s="20"/>
      <c r="Y21" s="87"/>
      <c r="Z21" s="88"/>
      <c r="AA21" s="88"/>
      <c r="AB21" s="88"/>
      <c r="AC21" s="88"/>
      <c r="AD21" s="88"/>
      <c r="AE21" s="88"/>
      <c r="AF21" s="89"/>
      <c r="AG21" s="18"/>
    </row>
    <row r="22" spans="2:33" x14ac:dyDescent="0.25">
      <c r="B22" s="57">
        <v>45</v>
      </c>
      <c r="C22" s="84"/>
      <c r="D22" s="85"/>
      <c r="E22" s="85"/>
      <c r="F22" s="86"/>
      <c r="G22" s="58">
        <v>1</v>
      </c>
      <c r="H22" s="59">
        <f t="shared" si="1"/>
        <v>99</v>
      </c>
      <c r="I22" s="57">
        <v>45</v>
      </c>
      <c r="J22" s="84"/>
      <c r="K22" s="85"/>
      <c r="L22" s="85"/>
      <c r="M22" s="86"/>
      <c r="N22" s="63"/>
      <c r="O22" s="59">
        <f t="shared" si="2"/>
        <v>100</v>
      </c>
      <c r="P22" s="57">
        <v>45</v>
      </c>
      <c r="Q22" s="84"/>
      <c r="R22" s="85"/>
      <c r="S22" s="85"/>
      <c r="T22" s="86"/>
      <c r="U22" s="61">
        <v>2</v>
      </c>
      <c r="V22" s="59">
        <f t="shared" si="3"/>
        <v>98</v>
      </c>
      <c r="W22" s="49">
        <f t="shared" si="0"/>
        <v>99</v>
      </c>
      <c r="X22" s="20"/>
      <c r="Y22" s="87"/>
      <c r="Z22" s="88"/>
      <c r="AA22" s="88"/>
      <c r="AB22" s="88"/>
      <c r="AC22" s="88"/>
      <c r="AD22" s="88"/>
      <c r="AE22" s="88"/>
      <c r="AF22" s="89"/>
      <c r="AG22" s="18"/>
    </row>
    <row r="23" spans="2:33" x14ac:dyDescent="0.25">
      <c r="B23" s="64">
        <v>64</v>
      </c>
      <c r="C23" s="84"/>
      <c r="D23" s="85"/>
      <c r="E23" s="85"/>
      <c r="F23" s="86"/>
      <c r="G23" s="58"/>
      <c r="H23" s="59">
        <f t="shared" si="1"/>
        <v>100</v>
      </c>
      <c r="I23" s="64">
        <v>64</v>
      </c>
      <c r="J23" s="84"/>
      <c r="K23" s="85"/>
      <c r="L23" s="85"/>
      <c r="M23" s="86"/>
      <c r="N23" s="65"/>
      <c r="O23" s="59">
        <f t="shared" si="2"/>
        <v>100</v>
      </c>
      <c r="P23" s="64">
        <v>64</v>
      </c>
      <c r="Q23" s="84"/>
      <c r="R23" s="85"/>
      <c r="S23" s="85"/>
      <c r="T23" s="86"/>
      <c r="U23" s="66"/>
      <c r="V23" s="59">
        <f t="shared" si="3"/>
        <v>100</v>
      </c>
      <c r="W23" s="49">
        <f t="shared" si="0"/>
        <v>100</v>
      </c>
      <c r="X23" s="20"/>
      <c r="Y23" s="87"/>
      <c r="Z23" s="88"/>
      <c r="AA23" s="88"/>
      <c r="AB23" s="88"/>
      <c r="AC23" s="88"/>
      <c r="AD23" s="88"/>
      <c r="AE23" s="88"/>
      <c r="AF23" s="89"/>
      <c r="AG23" s="18"/>
    </row>
    <row r="24" spans="2:33" x14ac:dyDescent="0.25">
      <c r="B24" s="57">
        <v>90</v>
      </c>
      <c r="C24" s="84"/>
      <c r="D24" s="85"/>
      <c r="E24" s="85"/>
      <c r="F24" s="86"/>
      <c r="G24" s="58"/>
      <c r="H24" s="59">
        <f t="shared" si="1"/>
        <v>100</v>
      </c>
      <c r="I24" s="57">
        <v>90</v>
      </c>
      <c r="J24" s="84"/>
      <c r="K24" s="85"/>
      <c r="L24" s="85"/>
      <c r="M24" s="86"/>
      <c r="N24" s="19"/>
      <c r="O24" s="59">
        <f t="shared" si="2"/>
        <v>100</v>
      </c>
      <c r="P24" s="57">
        <v>90</v>
      </c>
      <c r="Q24" s="84"/>
      <c r="R24" s="85"/>
      <c r="S24" s="85"/>
      <c r="T24" s="86"/>
      <c r="U24" s="66"/>
      <c r="V24" s="59">
        <f t="shared" si="3"/>
        <v>100</v>
      </c>
      <c r="W24" s="49">
        <f t="shared" si="0"/>
        <v>100</v>
      </c>
      <c r="X24" s="20"/>
      <c r="Y24" s="87"/>
      <c r="Z24" s="88"/>
      <c r="AA24" s="88"/>
      <c r="AB24" s="88"/>
      <c r="AC24" s="88"/>
      <c r="AD24" s="88"/>
      <c r="AE24" s="88"/>
      <c r="AF24" s="89"/>
      <c r="AG24" s="18"/>
    </row>
    <row r="25" spans="2:33" x14ac:dyDescent="0.25">
      <c r="B25" s="62">
        <v>128</v>
      </c>
      <c r="C25" s="84"/>
      <c r="D25" s="85"/>
      <c r="E25" s="85"/>
      <c r="F25" s="86"/>
      <c r="G25" s="58"/>
      <c r="H25" s="59">
        <f t="shared" si="1"/>
        <v>100</v>
      </c>
      <c r="I25" s="62">
        <v>128</v>
      </c>
      <c r="J25" s="84"/>
      <c r="K25" s="85"/>
      <c r="L25" s="85"/>
      <c r="M25" s="86"/>
      <c r="N25" s="19"/>
      <c r="O25" s="59">
        <f t="shared" si="2"/>
        <v>100</v>
      </c>
      <c r="P25" s="62">
        <v>128</v>
      </c>
      <c r="Q25" s="84"/>
      <c r="R25" s="85"/>
      <c r="S25" s="85"/>
      <c r="T25" s="86"/>
      <c r="U25" s="66"/>
      <c r="V25" s="59">
        <f t="shared" si="3"/>
        <v>100</v>
      </c>
      <c r="W25" s="49">
        <f t="shared" si="0"/>
        <v>100</v>
      </c>
      <c r="X25" s="20"/>
      <c r="Y25" s="87"/>
      <c r="Z25" s="88"/>
      <c r="AA25" s="88"/>
      <c r="AB25" s="88"/>
      <c r="AC25" s="88"/>
      <c r="AD25" s="88"/>
      <c r="AE25" s="88"/>
      <c r="AF25" s="89"/>
      <c r="AG25" s="18"/>
    </row>
    <row r="26" spans="2:33" x14ac:dyDescent="0.25">
      <c r="B26" s="62">
        <v>180</v>
      </c>
      <c r="C26" s="84"/>
      <c r="D26" s="85"/>
      <c r="E26" s="85"/>
      <c r="F26" s="86"/>
      <c r="G26" s="58"/>
      <c r="H26" s="59">
        <f t="shared" si="1"/>
        <v>100</v>
      </c>
      <c r="I26" s="62">
        <v>180</v>
      </c>
      <c r="J26" s="84"/>
      <c r="K26" s="85"/>
      <c r="L26" s="85"/>
      <c r="M26" s="86"/>
      <c r="N26" s="60"/>
      <c r="O26" s="59">
        <f t="shared" si="2"/>
        <v>100</v>
      </c>
      <c r="P26" s="62">
        <v>180</v>
      </c>
      <c r="Q26" s="84"/>
      <c r="R26" s="85"/>
      <c r="S26" s="85"/>
      <c r="T26" s="86"/>
      <c r="U26" s="66"/>
      <c r="V26" s="59">
        <f t="shared" si="3"/>
        <v>100</v>
      </c>
      <c r="W26" s="49">
        <f>AVERAGE(H26,V26,O26)</f>
        <v>100</v>
      </c>
      <c r="X26" s="20"/>
      <c r="Y26" s="87"/>
      <c r="Z26" s="88"/>
      <c r="AA26" s="88"/>
      <c r="AB26" s="88"/>
      <c r="AC26" s="88"/>
      <c r="AD26" s="88"/>
      <c r="AE26" s="88"/>
      <c r="AF26" s="89"/>
      <c r="AG26" s="18"/>
    </row>
    <row r="27" spans="2:33" x14ac:dyDescent="0.25">
      <c r="B27" s="62">
        <v>256</v>
      </c>
      <c r="C27" s="84"/>
      <c r="D27" s="85"/>
      <c r="E27" s="85"/>
      <c r="F27" s="86"/>
      <c r="G27" s="58"/>
      <c r="H27" s="59">
        <f t="shared" si="1"/>
        <v>100</v>
      </c>
      <c r="I27" s="62">
        <v>256</v>
      </c>
      <c r="J27" s="84"/>
      <c r="K27" s="85"/>
      <c r="L27" s="85"/>
      <c r="M27" s="86"/>
      <c r="N27" s="60"/>
      <c r="O27" s="59">
        <f t="shared" si="2"/>
        <v>100</v>
      </c>
      <c r="P27" s="62">
        <v>256</v>
      </c>
      <c r="Q27" s="84"/>
      <c r="R27" s="85"/>
      <c r="S27" s="85"/>
      <c r="T27" s="86"/>
      <c r="U27" s="66"/>
      <c r="V27" s="59">
        <f t="shared" si="3"/>
        <v>100</v>
      </c>
      <c r="W27" s="49">
        <f>AVERAGE(H27,V27,O27)</f>
        <v>100</v>
      </c>
      <c r="X27" s="20"/>
      <c r="Y27" s="87"/>
      <c r="Z27" s="88"/>
      <c r="AA27" s="88"/>
      <c r="AB27" s="88"/>
      <c r="AC27" s="88"/>
      <c r="AD27" s="88"/>
      <c r="AE27" s="88"/>
      <c r="AF27" s="89"/>
      <c r="AG27" s="18"/>
    </row>
    <row r="28" spans="2:33" ht="18" thickBot="1" x14ac:dyDescent="0.3">
      <c r="B28" s="67">
        <v>360</v>
      </c>
      <c r="C28" s="93"/>
      <c r="D28" s="94"/>
      <c r="E28" s="94"/>
      <c r="F28" s="95"/>
      <c r="G28" s="68"/>
      <c r="H28" s="59">
        <f t="shared" si="1"/>
        <v>100</v>
      </c>
      <c r="I28" s="67">
        <v>360</v>
      </c>
      <c r="J28" s="93"/>
      <c r="K28" s="94"/>
      <c r="L28" s="94"/>
      <c r="M28" s="95"/>
      <c r="N28" s="69"/>
      <c r="O28" s="59">
        <f t="shared" si="2"/>
        <v>100</v>
      </c>
      <c r="P28" s="67">
        <v>360</v>
      </c>
      <c r="Q28" s="93"/>
      <c r="R28" s="94"/>
      <c r="S28" s="94"/>
      <c r="T28" s="95"/>
      <c r="U28" s="70"/>
      <c r="V28" s="59">
        <f t="shared" si="3"/>
        <v>100</v>
      </c>
      <c r="W28" s="71">
        <f>AVERAGE(V28,O28,H28)</f>
        <v>100</v>
      </c>
      <c r="X28" s="20"/>
      <c r="Y28" s="87"/>
      <c r="Z28" s="88"/>
      <c r="AA28" s="88"/>
      <c r="AB28" s="88"/>
      <c r="AC28" s="88"/>
      <c r="AD28" s="88"/>
      <c r="AE28" s="88"/>
      <c r="AF28" s="89"/>
      <c r="AG28" s="43"/>
    </row>
    <row r="29" spans="2:33" x14ac:dyDescent="0.25">
      <c r="B29" s="18"/>
      <c r="C29" s="18"/>
      <c r="D29" s="18"/>
      <c r="E29" s="18"/>
      <c r="F29" s="18"/>
      <c r="G29" s="18"/>
      <c r="H29" s="21"/>
      <c r="I29" s="18"/>
      <c r="J29" s="18"/>
      <c r="K29" s="18"/>
      <c r="L29" s="18"/>
      <c r="M29" s="18"/>
      <c r="N29" s="18"/>
      <c r="O29" s="18"/>
      <c r="P29" s="18"/>
      <c r="Q29" s="18"/>
      <c r="R29" s="18"/>
      <c r="S29" s="18"/>
      <c r="T29" s="18"/>
      <c r="U29" s="18"/>
      <c r="V29" s="18"/>
      <c r="W29" s="18"/>
      <c r="X29" s="20"/>
      <c r="Y29" s="87"/>
      <c r="Z29" s="88"/>
      <c r="AA29" s="88"/>
      <c r="AB29" s="88"/>
      <c r="AC29" s="88"/>
      <c r="AD29" s="88"/>
      <c r="AE29" s="88"/>
      <c r="AF29" s="89"/>
      <c r="AG29" s="18"/>
    </row>
    <row r="30" spans="2:33" ht="15.75" thickBot="1" x14ac:dyDescent="0.3">
      <c r="B30" s="18"/>
      <c r="C30" s="101" t="s">
        <v>32</v>
      </c>
      <c r="D30" s="101"/>
      <c r="E30" s="101"/>
      <c r="F30" s="101"/>
      <c r="G30" s="101"/>
      <c r="H30" s="101"/>
      <c r="I30" s="51"/>
      <c r="J30" s="101" t="s">
        <v>33</v>
      </c>
      <c r="K30" s="101"/>
      <c r="L30" s="101"/>
      <c r="M30" s="101"/>
      <c r="N30" s="101"/>
      <c r="O30" s="101"/>
      <c r="P30" s="51"/>
      <c r="Q30" s="101" t="s">
        <v>34</v>
      </c>
      <c r="R30" s="101"/>
      <c r="S30" s="101"/>
      <c r="T30" s="101"/>
      <c r="U30" s="101"/>
      <c r="V30" s="101"/>
      <c r="W30" s="18"/>
      <c r="X30" s="20"/>
      <c r="Y30" s="87"/>
      <c r="Z30" s="88"/>
      <c r="AA30" s="88"/>
      <c r="AB30" s="88"/>
      <c r="AC30" s="88"/>
      <c r="AD30" s="88"/>
      <c r="AE30" s="88"/>
      <c r="AF30" s="89"/>
      <c r="AG30" s="18"/>
    </row>
    <row r="31" spans="2:33" ht="14.45" x14ac:dyDescent="0.3">
      <c r="B31" s="18"/>
      <c r="C31" s="23"/>
      <c r="D31" s="24"/>
      <c r="E31" s="24"/>
      <c r="F31" s="24"/>
      <c r="G31" s="96"/>
      <c r="H31" s="97"/>
      <c r="I31" s="25"/>
      <c r="J31" s="23"/>
      <c r="K31" s="24"/>
      <c r="L31" s="24"/>
      <c r="M31" s="24"/>
      <c r="N31" s="96"/>
      <c r="O31" s="97"/>
      <c r="P31" s="18"/>
      <c r="Q31" s="23"/>
      <c r="R31" s="24"/>
      <c r="S31" s="24"/>
      <c r="T31" s="24"/>
      <c r="U31" s="96"/>
      <c r="V31" s="97"/>
      <c r="W31" s="18"/>
      <c r="X31" s="18"/>
      <c r="Y31" s="18"/>
      <c r="Z31" s="18"/>
      <c r="AA31" s="18"/>
      <c r="AB31" s="18"/>
      <c r="AC31" s="18"/>
      <c r="AD31" s="18"/>
      <c r="AE31" s="18"/>
      <c r="AF31" s="18"/>
      <c r="AG31" s="18"/>
    </row>
    <row r="32" spans="2:33" ht="14.45" x14ac:dyDescent="0.3">
      <c r="B32" s="18"/>
      <c r="C32" s="26"/>
      <c r="D32" s="27"/>
      <c r="E32" s="27"/>
      <c r="F32" s="27"/>
      <c r="G32" s="91"/>
      <c r="H32" s="92"/>
      <c r="I32" s="25"/>
      <c r="J32" s="26"/>
      <c r="K32" s="27"/>
      <c r="L32" s="27"/>
      <c r="M32" s="27"/>
      <c r="N32" s="91"/>
      <c r="O32" s="92"/>
      <c r="P32" s="18"/>
      <c r="Q32" s="26"/>
      <c r="R32" s="27"/>
      <c r="S32" s="27"/>
      <c r="T32" s="27"/>
      <c r="U32" s="91"/>
      <c r="V32" s="92"/>
      <c r="W32" s="18"/>
      <c r="X32" s="2"/>
      <c r="Y32" s="18"/>
      <c r="Z32" s="18"/>
      <c r="AA32" s="2"/>
      <c r="AB32" s="18"/>
      <c r="AC32" s="2"/>
      <c r="AD32" s="21"/>
      <c r="AE32" s="18"/>
      <c r="AF32" s="32"/>
      <c r="AG32" s="18"/>
    </row>
    <row r="33" spans="2:32" ht="17.45" x14ac:dyDescent="0.3">
      <c r="B33" s="18"/>
      <c r="C33" s="26"/>
      <c r="D33" s="27"/>
      <c r="E33" s="27"/>
      <c r="F33" s="27"/>
      <c r="G33" s="91"/>
      <c r="H33" s="92"/>
      <c r="I33" s="25"/>
      <c r="J33" s="26"/>
      <c r="K33" s="27"/>
      <c r="L33" s="27"/>
      <c r="M33" s="27"/>
      <c r="N33" s="91"/>
      <c r="O33" s="92"/>
      <c r="P33" s="18"/>
      <c r="Q33" s="26"/>
      <c r="R33" s="27"/>
      <c r="S33" s="27"/>
      <c r="T33" s="27"/>
      <c r="U33" s="91"/>
      <c r="V33" s="92"/>
      <c r="W33" s="18"/>
      <c r="X33" s="18"/>
      <c r="Y33" s="44"/>
      <c r="Z33" s="100"/>
      <c r="AA33" s="100"/>
      <c r="AB33" s="100"/>
      <c r="AC33" s="22"/>
      <c r="AD33" s="18"/>
      <c r="AE33" s="37"/>
      <c r="AF33" s="45"/>
    </row>
    <row r="34" spans="2:32" ht="18" thickBot="1" x14ac:dyDescent="0.35">
      <c r="B34" s="18"/>
      <c r="C34" s="28"/>
      <c r="D34" s="29"/>
      <c r="E34" s="29"/>
      <c r="F34" s="29"/>
      <c r="G34" s="98"/>
      <c r="H34" s="99"/>
      <c r="I34" s="25"/>
      <c r="J34" s="28"/>
      <c r="K34" s="29"/>
      <c r="L34" s="29"/>
      <c r="M34" s="29"/>
      <c r="N34" s="30"/>
      <c r="O34" s="31"/>
      <c r="P34" s="18"/>
      <c r="Q34" s="28"/>
      <c r="R34" s="29"/>
      <c r="S34" s="29"/>
      <c r="T34" s="29"/>
      <c r="U34" s="98"/>
      <c r="V34" s="99"/>
      <c r="W34" s="18"/>
      <c r="X34" s="18"/>
      <c r="Y34" s="44"/>
      <c r="Z34" s="100"/>
      <c r="AA34" s="100"/>
      <c r="AB34" s="100"/>
      <c r="AC34" s="22"/>
      <c r="AD34" s="18"/>
      <c r="AE34" s="37"/>
      <c r="AF34" s="45"/>
    </row>
    <row r="35" spans="2:32" ht="14.45" x14ac:dyDescent="0.3">
      <c r="B35" s="2" t="s">
        <v>35</v>
      </c>
      <c r="C35" s="18" t="s">
        <v>43</v>
      </c>
      <c r="D35" s="18"/>
      <c r="E35" s="18"/>
      <c r="F35" s="18"/>
      <c r="G35" s="2"/>
      <c r="H35" s="21"/>
      <c r="I35" s="18"/>
      <c r="J35" s="18"/>
      <c r="K35" s="2" t="s">
        <v>36</v>
      </c>
      <c r="L35" s="2"/>
      <c r="M35" s="2" t="s">
        <v>44</v>
      </c>
      <c r="N35" s="2"/>
      <c r="O35" s="18"/>
      <c r="P35" s="18"/>
      <c r="Q35" s="18"/>
      <c r="R35" s="32"/>
      <c r="S35" s="32"/>
      <c r="T35" s="32"/>
      <c r="U35" s="18"/>
      <c r="V35" s="32" t="s">
        <v>38</v>
      </c>
      <c r="W35" s="18"/>
      <c r="X35" s="2" t="s">
        <v>35</v>
      </c>
      <c r="Y35" s="2"/>
      <c r="Z35" s="2"/>
      <c r="AA35" s="2" t="s">
        <v>36</v>
      </c>
      <c r="AB35" s="2"/>
      <c r="AC35" s="18"/>
      <c r="AD35" s="2"/>
      <c r="AE35" s="2"/>
      <c r="AF35" s="32" t="s">
        <v>37</v>
      </c>
    </row>
    <row r="36" spans="2:32" ht="14.45" x14ac:dyDescent="0.3">
      <c r="B36" s="18"/>
      <c r="C36" s="18"/>
      <c r="D36" s="18"/>
      <c r="E36" s="18"/>
      <c r="F36" s="18"/>
      <c r="G36" s="25"/>
      <c r="H36" s="33"/>
      <c r="I36" s="25"/>
      <c r="J36" s="25"/>
      <c r="K36" s="25"/>
      <c r="L36" s="25"/>
      <c r="M36" s="25"/>
      <c r="N36" s="34"/>
      <c r="O36" s="35"/>
      <c r="P36" s="35"/>
      <c r="Q36" s="35"/>
      <c r="R36" s="35"/>
      <c r="S36" s="35"/>
      <c r="T36" s="35"/>
      <c r="U36" s="18"/>
      <c r="V36" s="18"/>
      <c r="W36" s="18"/>
      <c r="X36" s="18"/>
      <c r="Y36" s="18"/>
      <c r="Z36" s="22"/>
      <c r="AA36" s="46"/>
      <c r="AB36" s="22"/>
      <c r="AC36" s="18"/>
      <c r="AD36" s="35"/>
      <c r="AE36" s="35"/>
      <c r="AF36" s="18"/>
    </row>
    <row r="37" spans="2:32" ht="14.45" x14ac:dyDescent="0.3">
      <c r="B37" s="18"/>
      <c r="C37" s="18"/>
      <c r="D37" s="18"/>
      <c r="E37" s="18"/>
      <c r="F37" s="18"/>
      <c r="G37" s="18"/>
      <c r="H37" s="21"/>
      <c r="I37" s="18"/>
      <c r="J37" s="18"/>
      <c r="K37" s="18"/>
      <c r="L37" s="18"/>
      <c r="M37" s="18"/>
      <c r="N37" s="18"/>
      <c r="O37" s="18"/>
      <c r="P37" s="18"/>
      <c r="Q37" s="18"/>
      <c r="R37" s="18"/>
      <c r="S37" s="18"/>
      <c r="T37" s="18"/>
      <c r="U37" s="18"/>
      <c r="V37" s="18"/>
      <c r="W37" s="18"/>
      <c r="X37" s="18"/>
      <c r="Y37" s="35"/>
      <c r="Z37" s="25"/>
      <c r="AA37" s="25"/>
      <c r="AB37" s="34"/>
      <c r="AC37" s="35"/>
      <c r="AD37" s="35"/>
      <c r="AE37" s="35"/>
      <c r="AF37" s="18"/>
    </row>
    <row r="38" spans="2:32" ht="14.45" x14ac:dyDescent="0.3">
      <c r="B38" s="18"/>
      <c r="C38" s="18"/>
      <c r="D38" s="18"/>
      <c r="E38" s="72"/>
      <c r="F38" s="72"/>
      <c r="G38" s="72"/>
      <c r="H38" s="73"/>
      <c r="I38" s="72"/>
      <c r="J38" s="72"/>
      <c r="K38" s="72"/>
      <c r="L38" s="72"/>
      <c r="M38" s="72"/>
      <c r="N38" s="72"/>
      <c r="O38" s="72"/>
      <c r="P38" s="72"/>
      <c r="Q38" s="72"/>
      <c r="R38" s="72"/>
      <c r="S38" s="72"/>
      <c r="T38" s="72"/>
      <c r="U38" s="72"/>
      <c r="V38" s="72"/>
      <c r="W38" s="72" t="s">
        <v>39</v>
      </c>
      <c r="X38" s="18"/>
      <c r="Y38" s="25"/>
      <c r="Z38" s="25"/>
      <c r="AA38" s="25"/>
      <c r="AB38" s="34"/>
      <c r="AC38" s="35"/>
      <c r="AD38" s="18"/>
      <c r="AE38" s="35"/>
      <c r="AF38" s="18"/>
    </row>
    <row r="39" spans="2:32" ht="14.45" x14ac:dyDescent="0.3">
      <c r="B39" s="18"/>
      <c r="C39" s="18"/>
      <c r="D39" s="18"/>
      <c r="E39" s="74" t="s">
        <v>40</v>
      </c>
      <c r="F39" s="74" t="s">
        <v>21</v>
      </c>
      <c r="G39" s="72"/>
      <c r="H39" s="72"/>
      <c r="I39" s="72"/>
      <c r="J39" s="72"/>
      <c r="K39" s="72"/>
      <c r="L39" s="74" t="s">
        <v>40</v>
      </c>
      <c r="M39" s="74" t="s">
        <v>21</v>
      </c>
      <c r="N39" s="72"/>
      <c r="O39" s="72"/>
      <c r="P39" s="72"/>
      <c r="Q39" s="72"/>
      <c r="R39" s="72"/>
      <c r="S39" s="74" t="s">
        <v>40</v>
      </c>
      <c r="T39" s="74" t="s">
        <v>21</v>
      </c>
      <c r="U39" s="72"/>
      <c r="V39" s="72"/>
      <c r="W39" s="74" t="s">
        <v>21</v>
      </c>
      <c r="X39" s="18"/>
      <c r="Y39" s="25"/>
      <c r="Z39" s="25"/>
      <c r="AA39" s="25"/>
      <c r="AB39" s="34"/>
      <c r="AC39" s="35"/>
      <c r="AD39" s="18"/>
      <c r="AE39" s="35"/>
      <c r="AF39" s="18"/>
    </row>
    <row r="40" spans="2:32" ht="14.45" x14ac:dyDescent="0.3">
      <c r="B40" s="18"/>
      <c r="C40" s="18"/>
      <c r="D40" s="18"/>
      <c r="E40" s="74">
        <v>16</v>
      </c>
      <c r="F40" s="75">
        <f ca="1">10^(FORECAST(E40,LOG(OFFSET(B$13:B$28,MATCH(E40,H$13:H$28,1)-1,0,2)),OFFSET(H$13:H$28,MATCH(E40,H$13:H$28,1)-1,0,2)))</f>
        <v>8.6629470826719768</v>
      </c>
      <c r="G40" s="72"/>
      <c r="H40" s="72"/>
      <c r="I40" s="72"/>
      <c r="J40" s="72"/>
      <c r="K40" s="72"/>
      <c r="L40" s="74">
        <v>16</v>
      </c>
      <c r="M40" s="75">
        <f ca="1">10^(FORECAST(L40,LOG(OFFSET(I$13:I$28,MATCH(L40,O$13:O$28,1)-1,0,2)),OFFSET(O$13:O$28,MATCH(L40,O$13:O$28,1)-1,0,2)))</f>
        <v>11.000000000000007</v>
      </c>
      <c r="N40" s="72"/>
      <c r="O40" s="72"/>
      <c r="P40" s="72"/>
      <c r="Q40" s="72"/>
      <c r="R40" s="72"/>
      <c r="S40" s="74">
        <v>16</v>
      </c>
      <c r="T40" s="75">
        <f ca="1">10^(FORECAST(S40,LOG(OFFSET(P$13:P$28,MATCH(S40,V$13:V$28,1)-1,0,2)),OFFSET(V$13:V$28,MATCH(S40,V$13:V$28,1)-1,0,2)))</f>
        <v>9.086802027449961</v>
      </c>
      <c r="U40" s="72"/>
      <c r="V40" s="76"/>
      <c r="W40" s="75">
        <f ca="1">10^(FORECAST(S40,LOG(OFFSET(P$13:P$28,MATCH(S40,W$13:W$28,1)-1,0,2)),OFFSET(W$13:W$28,MATCH(S40,W$13:W$28,1)-1,0,2)))</f>
        <v>9.5176081913756594</v>
      </c>
      <c r="X40" s="18"/>
      <c r="Y40" s="18"/>
      <c r="Z40" s="18"/>
      <c r="AA40" s="18"/>
      <c r="AB40" s="18"/>
      <c r="AC40" s="18"/>
      <c r="AD40" s="18"/>
      <c r="AE40" s="18"/>
      <c r="AF40" s="18"/>
    </row>
    <row r="41" spans="2:32" ht="14.45" x14ac:dyDescent="0.3">
      <c r="B41" s="18"/>
      <c r="C41" s="18"/>
      <c r="D41" s="18"/>
      <c r="E41" s="74">
        <v>50</v>
      </c>
      <c r="F41" s="75">
        <f ca="1">10^(FORECAST(E41,LOG(OFFSET(B$13:B$28,MATCH(E41,H$13:H$28,1)-1,0,2)),OFFSET(H$13:H$28,MATCH(E41,H$13:H$28,1)-1,0,2)))</f>
        <v>18.482547226568347</v>
      </c>
      <c r="G41" s="72"/>
      <c r="H41" s="72"/>
      <c r="I41" s="72"/>
      <c r="J41" s="72"/>
      <c r="K41" s="72"/>
      <c r="L41" s="74">
        <v>50</v>
      </c>
      <c r="M41" s="75">
        <f ca="1">10^(FORECAST(L41,LOG(OFFSET(I$13:I$28,MATCH(L41,O$13:O$28,1)-1,0,2)),OFFSET(O$13:O$28,MATCH(L41,O$13:O$28,1)-1,0,2)))</f>
        <v>17.084156736975189</v>
      </c>
      <c r="N41" s="72"/>
      <c r="O41" s="72"/>
      <c r="P41" s="72"/>
      <c r="Q41" s="72"/>
      <c r="R41" s="72"/>
      <c r="S41" s="74">
        <v>50</v>
      </c>
      <c r="T41" s="75">
        <f ca="1">10^(FORECAST(S41,LOG(OFFSET(P$13:P$28,MATCH(S41,V$13:V$28,1)-1,0,2)),OFFSET(V$13:V$28,MATCH(S41,V$13:V$28,1)-1,0,2)))</f>
        <v>16.554887590899121</v>
      </c>
      <c r="U41" s="72"/>
      <c r="V41" s="76"/>
      <c r="W41" s="75">
        <f ca="1">10^(FORECAST(S41,LOG(OFFSET(P$13:P$28,MATCH(S41,W$13:W$28,1)-1,0,2)),OFFSET(W$13:W$28,MATCH(S41,W$13:W$28,1)-1,0,2)))</f>
        <v>17.423508698771453</v>
      </c>
      <c r="X41" s="18"/>
      <c r="Y41" s="18"/>
      <c r="Z41" s="18"/>
      <c r="AA41" s="18"/>
      <c r="AB41" s="18"/>
      <c r="AC41" s="18"/>
      <c r="AD41" s="18"/>
      <c r="AE41" s="18"/>
      <c r="AF41" s="18"/>
    </row>
    <row r="42" spans="2:32" x14ac:dyDescent="0.25">
      <c r="B42" s="18"/>
      <c r="C42" s="18"/>
      <c r="D42" s="18"/>
      <c r="E42" s="74">
        <v>84</v>
      </c>
      <c r="F42" s="75">
        <f ca="1">10^(FORECAST(E42,LOG(OFFSET(B$13:B$28,MATCH(E42,H$13:H$28,1)-1,0,2)),OFFSET(H$13:H$28,MATCH(E42,H$13:H$28,1)-1,0,2)))</f>
        <v>28.123017012507955</v>
      </c>
      <c r="G42" s="72"/>
      <c r="H42" s="72"/>
      <c r="I42" s="72"/>
      <c r="J42" s="72"/>
      <c r="K42" s="72"/>
      <c r="L42" s="74">
        <v>84</v>
      </c>
      <c r="M42" s="75">
        <f ca="1">10^(FORECAST(L42,LOG(OFFSET(I$13:I$28,MATCH(L42,O$13:O$28,1)-1,0,2)),OFFSET(O$13:O$28,MATCH(L42,O$13:O$28,1)-1,0,2)))</f>
        <v>28.288594297186236</v>
      </c>
      <c r="N42" s="72"/>
      <c r="O42" s="72"/>
      <c r="P42" s="72"/>
      <c r="Q42" s="72"/>
      <c r="R42" s="72"/>
      <c r="S42" s="74">
        <v>84</v>
      </c>
      <c r="T42" s="75">
        <f ca="1">10^(FORECAST(S42,LOG(OFFSET(P$13:P$28,MATCH(S42,V$13:V$28,1)-1,0,2)),OFFSET(V$13:V$28,MATCH(S42,V$13:V$28,1)-1,0,2)))</f>
        <v>29.823354185530839</v>
      </c>
      <c r="U42" s="72"/>
      <c r="V42" s="76"/>
      <c r="W42" s="75">
        <f ca="1">10^(FORECAST(S42,LOG(OFFSET(P$13:P$28,MATCH(S42,W$13:W$28,1)-1,0,2)),OFFSET(W$13:W$28,MATCH(S42,W$13:W$28,1)-1,0,2)))</f>
        <v>28.646692800420126</v>
      </c>
      <c r="X42" s="18"/>
      <c r="Y42" s="18"/>
      <c r="Z42" s="18"/>
      <c r="AA42" s="18"/>
      <c r="AB42" s="18"/>
      <c r="AC42" s="18"/>
      <c r="AD42" s="18"/>
      <c r="AE42" s="18"/>
      <c r="AF42" s="18"/>
    </row>
    <row r="43" spans="2:32" x14ac:dyDescent="0.25">
      <c r="B43" s="18"/>
      <c r="C43" s="18"/>
      <c r="D43" s="18"/>
      <c r="E43" s="74">
        <v>90</v>
      </c>
      <c r="F43" s="75">
        <f ca="1">10^(FORECAST(E43,LOG(OFFSET(B$13:B$28,MATCH(E43,H$13:H$28,1)-1,0,2)),OFFSET(H$13:H$28,MATCH(E43,H$13:H$28,1)-1,0,2)))</f>
        <v>30.175564384936649</v>
      </c>
      <c r="G43" s="72"/>
      <c r="H43" s="72"/>
      <c r="I43" s="72"/>
      <c r="J43" s="72"/>
      <c r="K43" s="72"/>
      <c r="L43" s="74">
        <v>90</v>
      </c>
      <c r="M43" s="75">
        <f ca="1">10^(FORECAST(L43,LOG(OFFSET(I$13:I$28,MATCH(L43,O$13:O$28,1)-1,0,2)),OFFSET(O$13:O$28,MATCH(L43,O$13:O$28,1)-1,0,2)))</f>
        <v>31.441380421086784</v>
      </c>
      <c r="N43" s="72"/>
      <c r="O43" s="72"/>
      <c r="P43" s="72"/>
      <c r="Q43" s="72"/>
      <c r="R43" s="72"/>
      <c r="S43" s="74">
        <v>90</v>
      </c>
      <c r="T43" s="75">
        <f ca="1">10^(FORECAST(S43,LOG(OFFSET(P$13:P$28,MATCH(S43,V$13:V$28,1)-1,0,2)),OFFSET(V$13:V$28,MATCH(S43,V$13:V$28,1)-1,0,2)))</f>
        <v>34.258037893413196</v>
      </c>
      <c r="U43" s="72"/>
      <c r="V43" s="76"/>
      <c r="W43" s="75">
        <f ca="1">10^(FORECAST(S43,LOG(OFFSET(P$13:P$28,MATCH(S43,W$13:W$28,1)-1,0,2)),OFFSET(W$13:W$28,MATCH(S43,W$13:W$28,1)-1,0,2)))</f>
        <v>31.362377687897876</v>
      </c>
      <c r="X43" s="18"/>
      <c r="Y43" s="18"/>
      <c r="Z43" s="18"/>
      <c r="AA43" s="18"/>
      <c r="AB43" s="18"/>
      <c r="AC43" s="18"/>
      <c r="AD43" s="18"/>
      <c r="AE43" s="18"/>
      <c r="AF43" s="18"/>
    </row>
    <row r="44" spans="2:32" x14ac:dyDescent="0.25">
      <c r="B44" s="18"/>
      <c r="C44" s="18"/>
      <c r="D44" s="18"/>
      <c r="E44" s="77"/>
      <c r="F44" s="77"/>
      <c r="G44" s="72"/>
      <c r="H44" s="72"/>
      <c r="I44" s="72"/>
      <c r="J44" s="72"/>
      <c r="K44" s="72"/>
      <c r="L44" s="77"/>
      <c r="M44" s="77"/>
      <c r="N44" s="72"/>
      <c r="O44" s="72"/>
      <c r="P44" s="72"/>
      <c r="Q44" s="72"/>
      <c r="R44" s="72"/>
      <c r="S44" s="77"/>
      <c r="T44" s="77"/>
      <c r="U44" s="72"/>
      <c r="V44" s="72"/>
      <c r="W44" s="77"/>
      <c r="X44" s="18"/>
      <c r="Y44" s="18"/>
      <c r="Z44" s="18"/>
      <c r="AA44" s="18"/>
      <c r="AB44" s="18"/>
      <c r="AC44" s="18"/>
      <c r="AD44" s="18"/>
      <c r="AE44" s="18"/>
      <c r="AF44" s="18"/>
    </row>
    <row r="45" spans="2:32" x14ac:dyDescent="0.25">
      <c r="B45" s="18"/>
      <c r="C45" s="18"/>
      <c r="D45" s="18"/>
      <c r="E45" s="74" t="s">
        <v>41</v>
      </c>
      <c r="F45" s="75">
        <f ca="1">0.5*(F42/F41+F41/F40)</f>
        <v>1.8275579096659937</v>
      </c>
      <c r="G45" s="72"/>
      <c r="H45" s="72"/>
      <c r="I45" s="72"/>
      <c r="J45" s="72"/>
      <c r="K45" s="72"/>
      <c r="L45" s="74" t="s">
        <v>41</v>
      </c>
      <c r="M45" s="75">
        <f ca="1">0.5*(M42/M41+M41/M40)</f>
        <v>1.6044715313697608</v>
      </c>
      <c r="N45" s="72"/>
      <c r="O45" s="72"/>
      <c r="P45" s="72"/>
      <c r="Q45" s="72"/>
      <c r="R45" s="72"/>
      <c r="S45" s="74" t="s">
        <v>41</v>
      </c>
      <c r="T45" s="75">
        <f ca="1">0.5*(T42/T41+T41/T40)</f>
        <v>1.8116720247122</v>
      </c>
      <c r="U45" s="72"/>
      <c r="V45" s="72"/>
      <c r="W45" s="75">
        <f ca="1">0.5*(W42/W41+W41/W40)</f>
        <v>1.7374003641804241</v>
      </c>
      <c r="X45" s="18"/>
      <c r="Y45" s="18"/>
      <c r="Z45" s="18"/>
      <c r="AA45" s="18"/>
      <c r="AB45" s="18"/>
      <c r="AC45" s="18"/>
      <c r="AD45" s="18"/>
      <c r="AE45" s="18"/>
      <c r="AF45" s="18"/>
    </row>
    <row r="46" spans="2:32" x14ac:dyDescent="0.25">
      <c r="B46" s="18"/>
      <c r="C46" s="18"/>
      <c r="D46" s="18"/>
      <c r="E46" s="77"/>
      <c r="F46" s="75"/>
      <c r="G46" s="72"/>
      <c r="H46" s="72"/>
      <c r="I46" s="72"/>
      <c r="J46" s="72"/>
      <c r="K46" s="72"/>
      <c r="L46" s="77"/>
      <c r="M46" s="75"/>
      <c r="N46" s="72"/>
      <c r="O46" s="72"/>
      <c r="P46" s="72"/>
      <c r="Q46" s="72"/>
      <c r="R46" s="72"/>
      <c r="S46" s="77"/>
      <c r="T46" s="75"/>
      <c r="U46" s="72"/>
      <c r="V46" s="72"/>
      <c r="W46" s="75"/>
      <c r="X46" s="18"/>
      <c r="Y46" s="18"/>
      <c r="Z46" s="18"/>
      <c r="AA46" s="18"/>
      <c r="AB46" s="18"/>
      <c r="AC46" s="18"/>
      <c r="AD46" s="18"/>
      <c r="AE46" s="18"/>
      <c r="AF46" s="18"/>
    </row>
    <row r="47" spans="2:32" x14ac:dyDescent="0.25">
      <c r="B47" s="18"/>
      <c r="C47" s="18"/>
      <c r="D47" s="18"/>
      <c r="E47" s="77" t="s">
        <v>42</v>
      </c>
      <c r="F47" s="75">
        <f>H12</f>
        <v>1</v>
      </c>
      <c r="G47" s="72"/>
      <c r="H47" s="72"/>
      <c r="I47" s="72"/>
      <c r="J47" s="72"/>
      <c r="K47" s="72"/>
      <c r="L47" s="77" t="s">
        <v>42</v>
      </c>
      <c r="M47" s="75">
        <f>O12</f>
        <v>6</v>
      </c>
      <c r="N47" s="72"/>
      <c r="O47" s="72"/>
      <c r="P47" s="72"/>
      <c r="Q47" s="72"/>
      <c r="R47" s="72"/>
      <c r="S47" s="77" t="s">
        <v>42</v>
      </c>
      <c r="T47" s="75">
        <f>V12</f>
        <v>8</v>
      </c>
      <c r="U47" s="72"/>
      <c r="V47" s="72"/>
      <c r="W47" s="75">
        <f>AVERAGE(T47,M47,F47)</f>
        <v>5</v>
      </c>
      <c r="X47" s="18"/>
      <c r="Y47" s="18"/>
      <c r="Z47" s="18"/>
      <c r="AA47" s="18"/>
      <c r="AB47" s="18"/>
      <c r="AC47" s="18"/>
      <c r="AD47" s="18"/>
      <c r="AE47" s="18"/>
      <c r="AF47" s="18"/>
    </row>
    <row r="48" spans="2:32" x14ac:dyDescent="0.25">
      <c r="B48" s="18"/>
      <c r="C48" s="18"/>
      <c r="D48" s="18"/>
      <c r="E48" s="18"/>
      <c r="F48" s="18"/>
      <c r="G48" s="18"/>
      <c r="H48" s="21"/>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8:8" x14ac:dyDescent="0.25">
      <c r="H49" s="21"/>
    </row>
    <row r="50" spans="8:8" x14ac:dyDescent="0.25">
      <c r="H50" s="21"/>
    </row>
    <row r="51" spans="8:8" x14ac:dyDescent="0.25">
      <c r="H51" s="21"/>
    </row>
    <row r="52" spans="8:8" x14ac:dyDescent="0.25">
      <c r="H52" s="21"/>
    </row>
    <row r="53" spans="8:8" x14ac:dyDescent="0.25">
      <c r="H53" s="21"/>
    </row>
    <row r="54" spans="8:8" x14ac:dyDescent="0.25">
      <c r="H54" s="21"/>
    </row>
    <row r="55" spans="8:8" x14ac:dyDescent="0.25">
      <c r="H55" s="21"/>
    </row>
    <row r="56" spans="8:8" x14ac:dyDescent="0.25">
      <c r="H56" s="21"/>
    </row>
    <row r="57" spans="8:8" x14ac:dyDescent="0.25">
      <c r="H57" s="21"/>
    </row>
    <row r="58" spans="8:8" x14ac:dyDescent="0.25">
      <c r="H58" s="21"/>
    </row>
    <row r="59" spans="8:8" x14ac:dyDescent="0.25">
      <c r="H59" s="21"/>
    </row>
    <row r="60" spans="8:8" x14ac:dyDescent="0.25">
      <c r="H60" s="21"/>
    </row>
    <row r="61" spans="8:8" x14ac:dyDescent="0.25">
      <c r="H61" s="21"/>
    </row>
    <row r="62" spans="8:8" x14ac:dyDescent="0.25">
      <c r="H62" s="21"/>
    </row>
    <row r="63" spans="8:8" x14ac:dyDescent="0.25">
      <c r="H63" s="21"/>
    </row>
    <row r="64" spans="8:8" x14ac:dyDescent="0.25">
      <c r="H64" s="21"/>
    </row>
    <row r="65" spans="8:8" x14ac:dyDescent="0.25">
      <c r="H65" s="21"/>
    </row>
    <row r="66" spans="8:8" x14ac:dyDescent="0.25">
      <c r="H66" s="21"/>
    </row>
    <row r="67" spans="8:8" x14ac:dyDescent="0.25">
      <c r="H67" s="21"/>
    </row>
    <row r="68" spans="8:8" x14ac:dyDescent="0.25">
      <c r="H68" s="21"/>
    </row>
    <row r="69" spans="8:8" x14ac:dyDescent="0.25">
      <c r="H69" s="21"/>
    </row>
    <row r="70" spans="8:8" x14ac:dyDescent="0.25">
      <c r="H70" s="21"/>
    </row>
    <row r="71" spans="8:8" x14ac:dyDescent="0.25">
      <c r="H71" s="21"/>
    </row>
    <row r="72" spans="8:8" x14ac:dyDescent="0.25">
      <c r="H72" s="21"/>
    </row>
    <row r="73" spans="8:8" x14ac:dyDescent="0.25">
      <c r="H73" s="21"/>
    </row>
    <row r="74" spans="8:8" x14ac:dyDescent="0.25">
      <c r="H74" s="21"/>
    </row>
    <row r="75" spans="8:8" x14ac:dyDescent="0.25">
      <c r="H75" s="21"/>
    </row>
    <row r="76" spans="8:8" x14ac:dyDescent="0.25">
      <c r="H76" s="21"/>
    </row>
    <row r="77" spans="8:8" x14ac:dyDescent="0.25">
      <c r="H77" s="21"/>
    </row>
    <row r="78" spans="8:8" x14ac:dyDescent="0.25">
      <c r="H78" s="21"/>
    </row>
    <row r="79" spans="8:8" x14ac:dyDescent="0.25">
      <c r="H79" s="21"/>
    </row>
    <row r="80" spans="8:8" x14ac:dyDescent="0.25">
      <c r="H80" s="21"/>
    </row>
    <row r="81" spans="8:8" x14ac:dyDescent="0.25">
      <c r="H81" s="21"/>
    </row>
    <row r="82" spans="8:8" x14ac:dyDescent="0.25">
      <c r="H82" s="21"/>
    </row>
    <row r="83" spans="8:8" x14ac:dyDescent="0.25">
      <c r="H83" s="21"/>
    </row>
    <row r="84" spans="8:8" x14ac:dyDescent="0.25">
      <c r="H84" s="21"/>
    </row>
    <row r="85" spans="8:8" x14ac:dyDescent="0.25">
      <c r="H85" s="21"/>
    </row>
    <row r="86" spans="8:8" x14ac:dyDescent="0.25">
      <c r="H86" s="21"/>
    </row>
    <row r="87" spans="8:8" x14ac:dyDescent="0.25">
      <c r="H87" s="21"/>
    </row>
    <row r="88" spans="8:8" x14ac:dyDescent="0.25">
      <c r="H88" s="21"/>
    </row>
    <row r="89" spans="8:8" x14ac:dyDescent="0.25">
      <c r="H89" s="21"/>
    </row>
    <row r="90" spans="8:8" x14ac:dyDescent="0.25">
      <c r="H90" s="21"/>
    </row>
    <row r="91" spans="8:8" x14ac:dyDescent="0.25">
      <c r="H91" s="21"/>
    </row>
    <row r="92" spans="8:8" x14ac:dyDescent="0.25">
      <c r="H92" s="21"/>
    </row>
    <row r="93" spans="8:8" x14ac:dyDescent="0.25">
      <c r="H93" s="21"/>
    </row>
    <row r="94" spans="8:8" x14ac:dyDescent="0.25">
      <c r="H94" s="21"/>
    </row>
    <row r="95" spans="8:8" x14ac:dyDescent="0.25">
      <c r="H95" s="21"/>
    </row>
    <row r="96" spans="8:8" x14ac:dyDescent="0.25">
      <c r="H96" s="21"/>
    </row>
    <row r="97" spans="8:33" x14ac:dyDescent="0.25">
      <c r="H97" s="21"/>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8:33" x14ac:dyDescent="0.25">
      <c r="H98" s="1"/>
      <c r="I98" s="1"/>
      <c r="J98" s="1"/>
      <c r="K98" s="1"/>
      <c r="L98" s="1"/>
      <c r="M98" s="1"/>
      <c r="N98" s="1"/>
      <c r="O98" s="1"/>
      <c r="P98" s="1"/>
      <c r="Q98" s="1"/>
      <c r="R98" s="1"/>
      <c r="S98" s="1"/>
      <c r="T98" s="1"/>
      <c r="U98" s="1"/>
      <c r="V98" s="1"/>
      <c r="W98" s="1"/>
      <c r="X98" s="18"/>
      <c r="Y98" s="18"/>
      <c r="Z98" s="18"/>
      <c r="AA98" s="18"/>
      <c r="AB98" s="18"/>
      <c r="AC98" s="18"/>
      <c r="AD98" s="18"/>
      <c r="AE98" s="18"/>
      <c r="AF98" s="18"/>
      <c r="AG98" s="18"/>
    </row>
    <row r="99" spans="8:33" x14ac:dyDescent="0.25">
      <c r="H99" s="1"/>
      <c r="I99" s="1"/>
      <c r="J99" s="1"/>
      <c r="K99" s="1"/>
      <c r="L99" s="1"/>
      <c r="M99" s="1"/>
      <c r="N99" s="1"/>
      <c r="O99" s="1"/>
      <c r="P99" s="1"/>
      <c r="Q99" s="1"/>
      <c r="R99" s="1"/>
      <c r="S99" s="1"/>
      <c r="T99" s="1"/>
      <c r="U99" s="1"/>
      <c r="V99" s="1"/>
      <c r="W99" s="1"/>
      <c r="X99" s="18"/>
      <c r="Y99" s="18"/>
      <c r="Z99" s="18"/>
      <c r="AA99" s="18"/>
      <c r="AB99" s="18"/>
      <c r="AC99" s="18"/>
      <c r="AD99" s="18"/>
      <c r="AE99" s="18"/>
      <c r="AF99" s="18"/>
      <c r="AG99"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G10" sqref="G10"/>
    </sheetView>
  </sheetViews>
  <sheetFormatPr defaultRowHeight="15" x14ac:dyDescent="0.25"/>
  <sheetData>
    <row r="6" spans="3:8" x14ac:dyDescent="0.3">
      <c r="C6" s="77"/>
      <c r="D6" s="182" t="s">
        <v>133</v>
      </c>
      <c r="E6" s="182"/>
      <c r="F6" s="182"/>
      <c r="G6" s="182"/>
      <c r="H6" s="74" t="s">
        <v>134</v>
      </c>
    </row>
    <row r="7" spans="3:8" x14ac:dyDescent="0.3">
      <c r="C7" s="77"/>
      <c r="D7" s="74" t="s">
        <v>22</v>
      </c>
      <c r="E7" s="74" t="s">
        <v>25</v>
      </c>
      <c r="F7" s="74" t="s">
        <v>26</v>
      </c>
      <c r="G7" s="74" t="s">
        <v>135</v>
      </c>
      <c r="H7" s="74" t="s">
        <v>136</v>
      </c>
    </row>
    <row r="8" spans="3:8" x14ac:dyDescent="0.3">
      <c r="C8" s="77" t="s">
        <v>137</v>
      </c>
      <c r="D8" s="75">
        <f ca="1">Surface!F40</f>
        <v>8.6629470826719768</v>
      </c>
      <c r="E8" s="75">
        <f ca="1">Surface!M40</f>
        <v>11.000000000000007</v>
      </c>
      <c r="F8" s="75">
        <f ca="1">Surface!T40</f>
        <v>9.086802027449961</v>
      </c>
      <c r="G8" s="75">
        <f ca="1">Surface!W40</f>
        <v>9.5176081913756594</v>
      </c>
      <c r="H8" s="75">
        <f ca="1">SubS!AE30</f>
        <v>0.36836860305192043</v>
      </c>
    </row>
    <row r="9" spans="3:8" x14ac:dyDescent="0.3">
      <c r="C9" s="77" t="s">
        <v>138</v>
      </c>
      <c r="D9" s="75">
        <f ca="1">Surface!F41</f>
        <v>18.482547226568347</v>
      </c>
      <c r="E9" s="75">
        <f ca="1">Surface!M41</f>
        <v>17.084156736975189</v>
      </c>
      <c r="F9" s="75">
        <f ca="1">Surface!T41</f>
        <v>16.554887590899121</v>
      </c>
      <c r="G9" s="75">
        <f ca="1">Surface!W41</f>
        <v>17.423508698771453</v>
      </c>
      <c r="H9" s="75">
        <f ca="1">SubS!AE31</f>
        <v>8.6082988234774689</v>
      </c>
    </row>
    <row r="10" spans="3:8" x14ac:dyDescent="0.3">
      <c r="C10" s="77" t="s">
        <v>139</v>
      </c>
      <c r="D10" s="75">
        <f ca="1">Surface!F42</f>
        <v>28.123017012507955</v>
      </c>
      <c r="E10" s="75">
        <f ca="1">Surface!M42</f>
        <v>28.288594297186236</v>
      </c>
      <c r="F10" s="75">
        <f ca="1">Surface!T42</f>
        <v>29.823354185530839</v>
      </c>
      <c r="G10" s="75">
        <f ca="1">Surface!W42</f>
        <v>28.646692800420126</v>
      </c>
      <c r="H10" s="75">
        <f ca="1">SubS!AE32</f>
        <v>25.378305631886352</v>
      </c>
    </row>
    <row r="11" spans="3:8" x14ac:dyDescent="0.3">
      <c r="C11" s="77" t="s">
        <v>140</v>
      </c>
      <c r="D11" s="75">
        <f ca="1">Surface!F43</f>
        <v>30.175564384936649</v>
      </c>
      <c r="E11" s="75">
        <f ca="1">Surface!M43</f>
        <v>31.441380421086784</v>
      </c>
      <c r="F11" s="75">
        <f ca="1">Surface!T43</f>
        <v>34.258037893413196</v>
      </c>
      <c r="G11" s="75">
        <f ca="1">Surface!W43</f>
        <v>31.362377687897876</v>
      </c>
      <c r="H11" s="75">
        <f ca="1">SubS!AE33</f>
        <v>29.180432326244446</v>
      </c>
    </row>
    <row r="12" spans="3:8" x14ac:dyDescent="0.3">
      <c r="C12" s="77"/>
      <c r="D12" s="75"/>
      <c r="E12" s="75"/>
      <c r="F12" s="75"/>
      <c r="G12" s="75"/>
      <c r="H12" s="75"/>
    </row>
    <row r="13" spans="3:8" x14ac:dyDescent="0.3">
      <c r="C13" s="77" t="s">
        <v>141</v>
      </c>
      <c r="D13" s="75">
        <f ca="1">Surface!F45</f>
        <v>1.8275579096659937</v>
      </c>
      <c r="E13" s="75">
        <f ca="1">Surface!M45</f>
        <v>1.6044715313697608</v>
      </c>
      <c r="F13" s="75">
        <f ca="1">Surface!T45</f>
        <v>1.8116720247122</v>
      </c>
      <c r="G13" s="75">
        <f ca="1">Surface!W45</f>
        <v>1.7374003641804241</v>
      </c>
      <c r="H13" s="75">
        <f ca="1">SubS!AE35</f>
        <v>13.15841512941037</v>
      </c>
    </row>
    <row r="14" spans="3:8" x14ac:dyDescent="0.3">
      <c r="C14" s="77" t="s">
        <v>142</v>
      </c>
      <c r="D14" s="75">
        <f>Surface!F47</f>
        <v>1</v>
      </c>
      <c r="E14" s="75">
        <f>Surface!M47</f>
        <v>6</v>
      </c>
      <c r="F14" s="75">
        <f>Surface!T47</f>
        <v>8</v>
      </c>
      <c r="G14" s="75">
        <f>Surface!W47</f>
        <v>5</v>
      </c>
      <c r="H14" s="75"/>
    </row>
    <row r="15" spans="3:8" x14ac:dyDescent="0.3">
      <c r="C15" s="77"/>
      <c r="D15" s="77"/>
      <c r="E15" s="77"/>
      <c r="F15" s="77"/>
      <c r="G15" s="77"/>
      <c r="H15" s="77"/>
    </row>
    <row r="16" spans="3:8" x14ac:dyDescent="0.3">
      <c r="C16" s="77" t="s">
        <v>143</v>
      </c>
      <c r="D16" s="77"/>
      <c r="E16" s="77"/>
      <c r="F16" s="77"/>
      <c r="G16" s="77"/>
      <c r="H16" s="75">
        <f>SubS!AE36</f>
        <v>63.711591570379191</v>
      </c>
    </row>
    <row r="17" spans="3:8" x14ac:dyDescent="0.3">
      <c r="C17" s="77" t="s">
        <v>144</v>
      </c>
      <c r="D17" s="77"/>
      <c r="E17" s="77"/>
      <c r="F17" s="77"/>
      <c r="G17" s="77"/>
      <c r="H17" s="75">
        <f>SubS!AE37</f>
        <v>36.033752931869081</v>
      </c>
    </row>
    <row r="18" spans="3:8" x14ac:dyDescent="0.3">
      <c r="C18" s="77" t="s">
        <v>145</v>
      </c>
      <c r="D18" s="77"/>
      <c r="E18" s="77"/>
      <c r="F18" s="77"/>
      <c r="G18" s="77"/>
      <c r="H18" s="75">
        <f>SubS!AE38</f>
        <v>0.25465549775172497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83" t="s">
        <v>146</v>
      </c>
    </row>
    <row r="2" spans="1:1" x14ac:dyDescent="0.25">
      <c r="A2" s="183"/>
    </row>
    <row r="3" spans="1:1" x14ac:dyDescent="0.25">
      <c r="A3" s="183" t="s">
        <v>149</v>
      </c>
    </row>
    <row r="4" spans="1:1" x14ac:dyDescent="0.25">
      <c r="A4" s="183"/>
    </row>
    <row r="5" spans="1:1" x14ac:dyDescent="0.25">
      <c r="A5" s="183" t="s">
        <v>150</v>
      </c>
    </row>
    <row r="6" spans="1:1" x14ac:dyDescent="0.25">
      <c r="A6" s="183"/>
    </row>
    <row r="7" spans="1:1" x14ac:dyDescent="0.25">
      <c r="A7" s="183" t="s">
        <v>147</v>
      </c>
    </row>
    <row r="8" spans="1:1" x14ac:dyDescent="0.25">
      <c r="A8" s="183"/>
    </row>
    <row r="9" spans="1:1" x14ac:dyDescent="0.25">
      <c r="A9" s="18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dcterms:created xsi:type="dcterms:W3CDTF">2014-01-08T20:40:07Z</dcterms:created>
  <dcterms:modified xsi:type="dcterms:W3CDTF">2014-01-22T01:23:42Z</dcterms:modified>
</cp:coreProperties>
</file>