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24030" windowHeight="3000" activeTab="4"/>
  </bookViews>
  <sheets>
    <sheet name="SubS" sheetId="1" r:id="rId1"/>
    <sheet name="Surface" sheetId="2" r:id="rId2"/>
    <sheet name="Dist Chart" sheetId="4" r:id="rId3"/>
    <sheet name="Summary" sheetId="3" r:id="rId4"/>
    <sheet name="readme" sheetId="5" r:id="rId5"/>
  </sheets>
  <externalReferences>
    <externalReference r:id="rId6"/>
  </externalReferences>
  <calcPr calcId="145621"/>
</workbook>
</file>

<file path=xl/calcChain.xml><?xml version="1.0" encoding="utf-8"?>
<calcChain xmlns="http://schemas.openxmlformats.org/spreadsheetml/2006/main">
  <c r="F43" i="2" l="1"/>
  <c r="AE27" i="1"/>
  <c r="AF26" i="1"/>
  <c r="AE26" i="1"/>
  <c r="G14" i="3" l="1"/>
  <c r="F14" i="3"/>
  <c r="E14" i="3"/>
  <c r="D14" i="3"/>
  <c r="AE17" i="1"/>
  <c r="AF17" i="1" s="1"/>
  <c r="AE16" i="1"/>
  <c r="AF16" i="1" s="1"/>
  <c r="AF15" i="1"/>
  <c r="AE15" i="1"/>
  <c r="AF14" i="1"/>
  <c r="AE14" i="1"/>
  <c r="AE13" i="1"/>
  <c r="AF13" i="1" s="1"/>
  <c r="AE12" i="1"/>
  <c r="AF12" i="1" s="1"/>
  <c r="AF11" i="1"/>
  <c r="AE11" i="1"/>
  <c r="AE10" i="1"/>
  <c r="AF10" i="1" s="1"/>
  <c r="AE9" i="1"/>
  <c r="AF9" i="1" s="1"/>
  <c r="AE8" i="1"/>
  <c r="AF8" i="1" s="1"/>
  <c r="AH3" i="1"/>
  <c r="AF4" i="1" s="1"/>
  <c r="AF2" i="1"/>
  <c r="H45" i="1"/>
  <c r="H42" i="1"/>
  <c r="H41" i="1"/>
  <c r="H40" i="1"/>
  <c r="H39" i="1"/>
  <c r="H38" i="1"/>
  <c r="H37" i="1"/>
  <c r="H36" i="1"/>
  <c r="H35" i="1"/>
  <c r="H34" i="1"/>
  <c r="H33" i="1"/>
  <c r="H32" i="1"/>
  <c r="H31" i="1"/>
  <c r="H30" i="1"/>
  <c r="I30" i="1" s="1"/>
  <c r="G41" i="1"/>
  <c r="E24" i="1"/>
  <c r="E20" i="1"/>
  <c r="E19" i="1"/>
  <c r="E18" i="1"/>
  <c r="E17" i="1"/>
  <c r="E16" i="1"/>
  <c r="E15" i="1"/>
  <c r="E14" i="1"/>
  <c r="V14" i="2"/>
  <c r="O14" i="2"/>
  <c r="O15" i="2" s="1"/>
  <c r="O16" i="2" s="1"/>
  <c r="O17" i="2" s="1"/>
  <c r="O18" i="2" s="1"/>
  <c r="O19" i="2" s="1"/>
  <c r="O20" i="2" s="1"/>
  <c r="H14" i="2"/>
  <c r="H15" i="2" s="1"/>
  <c r="H16" i="2" s="1"/>
  <c r="H17" i="2" s="1"/>
  <c r="H18" i="2" s="1"/>
  <c r="H19" i="2" s="1"/>
  <c r="H20" i="2" s="1"/>
  <c r="W13" i="2"/>
  <c r="V12" i="2"/>
  <c r="T47" i="2" s="1"/>
  <c r="O12" i="2"/>
  <c r="M47" i="2" s="1"/>
  <c r="H12" i="2"/>
  <c r="F47" i="2" s="1"/>
  <c r="AF27" i="1" l="1"/>
  <c r="AG8" i="1"/>
  <c r="I31" i="1"/>
  <c r="I32" i="1" s="1"/>
  <c r="I33" i="1" s="1"/>
  <c r="I34" i="1" s="1"/>
  <c r="I35" i="1" s="1"/>
  <c r="I36" i="1" s="1"/>
  <c r="I37" i="1" s="1"/>
  <c r="I38" i="1" s="1"/>
  <c r="I39" i="1" s="1"/>
  <c r="I40" i="1" s="1"/>
  <c r="I41" i="1" s="1"/>
  <c r="W14" i="2"/>
  <c r="O21" i="2"/>
  <c r="O22" i="2" s="1"/>
  <c r="O23" i="2" s="1"/>
  <c r="O24" i="2" s="1"/>
  <c r="O25" i="2" s="1"/>
  <c r="O26" i="2" s="1"/>
  <c r="O27" i="2" s="1"/>
  <c r="O28" i="2" s="1"/>
  <c r="F40" i="2"/>
  <c r="D8" i="3" s="1"/>
  <c r="H21" i="2"/>
  <c r="H22" i="2" s="1"/>
  <c r="H23" i="2" s="1"/>
  <c r="H24" i="2" s="1"/>
  <c r="H25" i="2" s="1"/>
  <c r="H26" i="2" s="1"/>
  <c r="W47" i="2"/>
  <c r="V15" i="2"/>
  <c r="AH8" i="1" l="1"/>
  <c r="AK8" i="1" s="1"/>
  <c r="AG9" i="1"/>
  <c r="M41" i="2"/>
  <c r="E9" i="3" s="1"/>
  <c r="M43" i="2"/>
  <c r="E11" i="3" s="1"/>
  <c r="M40" i="2"/>
  <c r="E8" i="3" s="1"/>
  <c r="D11" i="3"/>
  <c r="W15" i="2"/>
  <c r="V16" i="2"/>
  <c r="H27" i="2"/>
  <c r="F42" i="2"/>
  <c r="D10" i="3" s="1"/>
  <c r="F41" i="2"/>
  <c r="D9" i="3" s="1"/>
  <c r="M42" i="2"/>
  <c r="E10" i="3" s="1"/>
  <c r="F41" i="1"/>
  <c r="D41" i="1"/>
  <c r="C41" i="1"/>
  <c r="D24" i="1"/>
  <c r="C24" i="1"/>
  <c r="AH9" i="1" l="1"/>
  <c r="AK9" i="1" s="1"/>
  <c r="AG10" i="1"/>
  <c r="M45" i="2"/>
  <c r="E13" i="3" s="1"/>
  <c r="W16" i="2"/>
  <c r="V17" i="2"/>
  <c r="H28" i="2"/>
  <c r="F45" i="2"/>
  <c r="D13" i="3" s="1"/>
  <c r="AH10" i="1" l="1"/>
  <c r="AK10" i="1" s="1"/>
  <c r="AG11" i="1"/>
  <c r="W17" i="2"/>
  <c r="V18" i="2"/>
  <c r="AH11" i="1" l="1"/>
  <c r="AK11" i="1" s="1"/>
  <c r="AG12" i="1"/>
  <c r="W18" i="2"/>
  <c r="V19" i="2"/>
  <c r="AH12" i="1" l="1"/>
  <c r="AK12" i="1" s="1"/>
  <c r="AG13" i="1"/>
  <c r="W19" i="2"/>
  <c r="V20" i="2"/>
  <c r="AG14" i="1" l="1"/>
  <c r="AH13" i="1"/>
  <c r="AK13" i="1" s="1"/>
  <c r="W20" i="2"/>
  <c r="V21" i="2"/>
  <c r="AE33" i="1" l="1"/>
  <c r="H11" i="3" s="1"/>
  <c r="AH14" i="1"/>
  <c r="AK14" i="1" s="1"/>
  <c r="AG15" i="1"/>
  <c r="W21" i="2"/>
  <c r="V22" i="2"/>
  <c r="W40" i="2"/>
  <c r="G8" i="3" s="1"/>
  <c r="AH15" i="1" l="1"/>
  <c r="AK15" i="1" s="1"/>
  <c r="AG16" i="1"/>
  <c r="W22" i="2"/>
  <c r="V23" i="2"/>
  <c r="AH16" i="1" l="1"/>
  <c r="AK16" i="1" s="1"/>
  <c r="AG17" i="1"/>
  <c r="AH17" i="1" s="1"/>
  <c r="W23" i="2"/>
  <c r="V24" i="2"/>
  <c r="AK17" i="1" l="1"/>
  <c r="AJ19" i="1"/>
  <c r="AK19" i="1" s="1"/>
  <c r="AJ24" i="1"/>
  <c r="AK24" i="1" s="1"/>
  <c r="AJ22" i="1"/>
  <c r="AK22" i="1" s="1"/>
  <c r="AJ20" i="1"/>
  <c r="AK20" i="1" s="1"/>
  <c r="AJ18" i="1"/>
  <c r="AK18" i="1" s="1"/>
  <c r="AJ25" i="1"/>
  <c r="AK25" i="1" s="1"/>
  <c r="AJ23" i="1"/>
  <c r="AK23" i="1" s="1"/>
  <c r="AJ21" i="1"/>
  <c r="AK21" i="1" s="1"/>
  <c r="AJ17" i="1"/>
  <c r="W24" i="2"/>
  <c r="V25" i="2"/>
  <c r="T41" i="2"/>
  <c r="T40" i="2"/>
  <c r="F9" i="3" l="1"/>
  <c r="F8" i="3"/>
  <c r="AE38" i="1"/>
  <c r="H18" i="3" s="1"/>
  <c r="AE30" i="1"/>
  <c r="H8" i="3" s="1"/>
  <c r="AE32" i="1"/>
  <c r="H10" i="3" s="1"/>
  <c r="AE31" i="1"/>
  <c r="H9" i="3" s="1"/>
  <c r="AE37" i="1"/>
  <c r="H17" i="3" s="1"/>
  <c r="AE36" i="1"/>
  <c r="H16" i="3" s="1"/>
  <c r="W25" i="2"/>
  <c r="V26" i="2"/>
  <c r="W41" i="2"/>
  <c r="G9" i="3" s="1"/>
  <c r="W42" i="2"/>
  <c r="G10" i="3" s="1"/>
  <c r="AE35" i="1" l="1"/>
  <c r="H13" i="3" s="1"/>
  <c r="W45" i="2"/>
  <c r="G13" i="3" s="1"/>
  <c r="V27" i="2"/>
  <c r="W26" i="2"/>
  <c r="W43" i="2" s="1"/>
  <c r="G11" i="3" s="1"/>
  <c r="T43" i="2"/>
  <c r="T42" i="2"/>
  <c r="F11" i="3" l="1"/>
  <c r="T45" i="2"/>
  <c r="F10" i="3"/>
  <c r="V28" i="2"/>
  <c r="W28" i="2" s="1"/>
  <c r="W27" i="2"/>
  <c r="F13" i="3" l="1"/>
</calcChain>
</file>

<file path=xl/sharedStrings.xml><?xml version="1.0" encoding="utf-8"?>
<sst xmlns="http://schemas.openxmlformats.org/spreadsheetml/2006/main" count="220" uniqueCount="166">
  <si>
    <t>Pebble Count Data Sheet</t>
  </si>
  <si>
    <t>River / Tributary:</t>
  </si>
  <si>
    <t>Talkeetna</t>
  </si>
  <si>
    <t>Crew:</t>
  </si>
  <si>
    <t>KD, RV, AK, BT, MP, GW</t>
  </si>
  <si>
    <t xml:space="preserve">  Crew:</t>
  </si>
  <si>
    <t xml:space="preserve">Site: </t>
  </si>
  <si>
    <t>TK 5</t>
  </si>
  <si>
    <t xml:space="preserve">PRM: </t>
  </si>
  <si>
    <t xml:space="preserve">  PRM: </t>
  </si>
  <si>
    <t>Date / Time:</t>
  </si>
  <si>
    <t>Length &amp; Interval:</t>
  </si>
  <si>
    <t>100' tape 1' intervals</t>
  </si>
  <si>
    <t>Field Book #</t>
  </si>
  <si>
    <t>RAV- Susitna</t>
  </si>
  <si>
    <t>RAV Susitna-01</t>
  </si>
  <si>
    <t>Comments:</t>
  </si>
  <si>
    <t xml:space="preserve">R. side bar below RR bridge. Sample site selected D/S of </t>
  </si>
  <si>
    <t>Waypoint(s):</t>
  </si>
  <si>
    <t>GPS 1</t>
  </si>
  <si>
    <t>GPS</t>
  </si>
  <si>
    <t>possible effects from bridge abuttments, potential human disturbance of armor</t>
  </si>
  <si>
    <t>Additional Comments</t>
  </si>
  <si>
    <t>Photo(s) #</t>
  </si>
  <si>
    <t>See Back (PG2/2)</t>
  </si>
  <si>
    <t xml:space="preserve">layer-but not obvious. </t>
  </si>
  <si>
    <t>Size (mm)</t>
  </si>
  <si>
    <t>Left</t>
  </si>
  <si>
    <t>Sum</t>
  </si>
  <si>
    <t xml:space="preserve">Cum % </t>
  </si>
  <si>
    <t>Center</t>
  </si>
  <si>
    <t>Right</t>
  </si>
  <si>
    <t>Cum Ave</t>
  </si>
  <si>
    <t>&lt; 2</t>
  </si>
  <si>
    <t>Photo Log</t>
  </si>
  <si>
    <t>Photo #</t>
  </si>
  <si>
    <t>Description</t>
  </si>
  <si>
    <t>Sample Location</t>
  </si>
  <si>
    <t>D/S View (taken under bridge)</t>
  </si>
  <si>
    <t>D/S view (taken U/S of PC line)</t>
  </si>
  <si>
    <t>D/S view (middle of PC lines)</t>
  </si>
  <si>
    <t>Sample hole</t>
  </si>
  <si>
    <t>U/S view</t>
  </si>
  <si>
    <t>L. Bank</t>
  </si>
  <si>
    <t>Rav Susitna-01 Field book notes</t>
  </si>
  <si>
    <t>Rav Susitna-01 Field book notes with updated site name</t>
  </si>
  <si>
    <t>LEFT  COUNT</t>
  </si>
  <si>
    <t>CENTER  COUNT</t>
  </si>
  <si>
    <t>RIGHT  COUNT</t>
  </si>
  <si>
    <t>QC1______________</t>
  </si>
  <si>
    <t>RAV</t>
  </si>
  <si>
    <t>Photo Backup_____________</t>
  </si>
  <si>
    <t>QC1________RAV______</t>
  </si>
  <si>
    <t>Page __2___ of ____2__</t>
  </si>
  <si>
    <t>Results Analysis</t>
  </si>
  <si>
    <t>Field Sieve Data Sheet</t>
  </si>
  <si>
    <t>Wet -16 mm Weight</t>
  </si>
  <si>
    <t>lbs</t>
  </si>
  <si>
    <t>River:</t>
  </si>
  <si>
    <t>KD, RV, AK, GM, MP, BT</t>
  </si>
  <si>
    <t>Dry -16 mm Weight</t>
  </si>
  <si>
    <t>g  =</t>
  </si>
  <si>
    <t xml:space="preserve">  PRM:</t>
  </si>
  <si>
    <t>% Moisture</t>
  </si>
  <si>
    <t xml:space="preserve">  Comments:</t>
  </si>
  <si>
    <t>Right side bar below (D/S) of rr bridge</t>
  </si>
  <si>
    <t>Sample Location:</t>
  </si>
  <si>
    <t>TK5</t>
  </si>
  <si>
    <t>Water fremoved from sample</t>
  </si>
  <si>
    <t>Field Sieve Results</t>
  </si>
  <si>
    <t>Surface/Sub     Subsurface       Bank      Trib Fan      Trib Chan</t>
  </si>
  <si>
    <t>Raw</t>
  </si>
  <si>
    <t>Adjusted for Moisture</t>
  </si>
  <si>
    <t>Cumulative Weight</t>
  </si>
  <si>
    <t>% Finer Field</t>
  </si>
  <si>
    <t>%Finer Lab</t>
  </si>
  <si>
    <t>Adjusted % Finer Lab</t>
  </si>
  <si>
    <t>Compiled Resuts</t>
  </si>
  <si>
    <t>Total Sample Weight</t>
  </si>
  <si>
    <t>(1)</t>
  </si>
  <si>
    <t>(2)</t>
  </si>
  <si>
    <t>(3)</t>
  </si>
  <si>
    <t>(4)</t>
  </si>
  <si>
    <r>
      <t xml:space="preserve"> Estimated D</t>
    </r>
    <r>
      <rPr>
        <vertAlign val="subscript"/>
        <sz val="11"/>
        <color theme="1"/>
        <rFont val="Arial"/>
        <family val="2"/>
      </rPr>
      <t>max</t>
    </r>
    <r>
      <rPr>
        <sz val="11"/>
        <color theme="1"/>
        <rFont val="Arial"/>
        <family val="2"/>
      </rPr>
      <t xml:space="preserve"> (mm)</t>
    </r>
  </si>
  <si>
    <t>Bucket #</t>
  </si>
  <si>
    <t>Bucket Wt (lbs)</t>
  </si>
  <si>
    <t>Bucket + Sample (lbs)</t>
  </si>
  <si>
    <t>Sample Wt   (lbs)</t>
  </si>
  <si>
    <t>Sample Depth (ft)</t>
  </si>
  <si>
    <t>Col 3 - Col 2</t>
  </si>
  <si>
    <t>Wt of the Sample (lbs)</t>
  </si>
  <si>
    <t>Number</t>
  </si>
  <si>
    <t xml:space="preserve">  </t>
  </si>
  <si>
    <t>Sample location</t>
  </si>
  <si>
    <t>D/S view(taken under bridge)</t>
  </si>
  <si>
    <t>D/S view (taken U/S of bridge)</t>
  </si>
  <si>
    <t>L. bank</t>
  </si>
  <si>
    <t>Totals</t>
  </si>
  <si>
    <t>RAV Susitna-01 field book notes</t>
  </si>
  <si>
    <t>without water</t>
  </si>
  <si>
    <t>Field notes with updated site name</t>
  </si>
  <si>
    <t>Retained Weight</t>
  </si>
  <si>
    <t>Additional Photos in Field Book #___________</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</si>
  <si>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</si>
  <si>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</si>
  <si>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</si>
  <si>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</si>
  <si>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</si>
  <si>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</si>
  <si>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</si>
  <si>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</si>
  <si>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</si>
  <si>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</si>
  <si>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</si>
  <si>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</si>
  <si>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</si>
  <si>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</si>
  <si>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</si>
  <si>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</si>
  <si>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</si>
  <si>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</si>
  <si>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</si>
  <si>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</si>
  <si>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</si>
  <si>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water weight</t>
  </si>
  <si>
    <t>16.5 IBS</t>
  </si>
  <si>
    <t>Minus16</t>
  </si>
  <si>
    <t>with water</t>
  </si>
  <si>
    <t>Subsample    minus 16</t>
  </si>
  <si>
    <t>* Larger samples sorted by size using gravelometer</t>
  </si>
  <si>
    <t>Total Sample Weight - Total Retained Weight</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</si>
  <si>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</si>
  <si>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</si>
  <si>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</si>
  <si>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</si>
  <si>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Photo Backup #</t>
  </si>
  <si>
    <t>Page:</t>
  </si>
  <si>
    <t>1 of 1</t>
  </si>
  <si>
    <t>Average</t>
  </si>
  <si>
    <t>D%</t>
  </si>
  <si>
    <t>Gr</t>
  </si>
  <si>
    <t>%Sand</t>
  </si>
  <si>
    <t>Page _1____ of ___2___</t>
  </si>
  <si>
    <t>(without water)</t>
  </si>
  <si>
    <t>433.9-433</t>
  </si>
  <si>
    <t>%Gravel</t>
  </si>
  <si>
    <t>%Silt/Clay</t>
  </si>
  <si>
    <t>Pebble Counts</t>
  </si>
  <si>
    <t>Sieve</t>
  </si>
  <si>
    <t>Combined</t>
  </si>
  <si>
    <t>Field+Lab</t>
  </si>
  <si>
    <t>D16 (mm)</t>
  </si>
  <si>
    <t>D50 (mm)</t>
  </si>
  <si>
    <t>D84 (mm)</t>
  </si>
  <si>
    <t>D90 (mm)</t>
  </si>
  <si>
    <t>Gr (-)</t>
  </si>
  <si>
    <t>% Sand Cover</t>
  </si>
  <si>
    <t>% Gravel</t>
  </si>
  <si>
    <t>% Sand</t>
  </si>
  <si>
    <t>% Silt/Clay</t>
  </si>
  <si>
    <t>W/O water</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</si>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</sst>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vertAlign val="subscript"/>
      <sz val="11"/>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184">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Border="1" applyAlignment="1">
      <alignment horizontal="center" vertical="center"/>
    </xf>
    <xf numFmtId="0" fontId="2" fillId="0" borderId="8" xfId="0" applyFont="1" applyFill="1" applyBorder="1" applyAlignment="1">
      <alignment vertical="center" wrapText="1"/>
    </xf>
    <xf numFmtId="0" fontId="2" fillId="0" borderId="8" xfId="0" applyFont="1" applyFill="1" applyBorder="1" applyAlignment="1">
      <alignment horizontal="right" vertical="center" wrapText="1"/>
    </xf>
    <xf numFmtId="0" fontId="2" fillId="0" borderId="4" xfId="0" applyFont="1" applyFill="1" applyBorder="1"/>
    <xf numFmtId="0" fontId="2" fillId="0" borderId="0" xfId="0" applyFont="1" applyFill="1" applyBorder="1"/>
    <xf numFmtId="0" fontId="2" fillId="0" borderId="4" xfId="0" applyFont="1" applyFill="1" applyBorder="1" applyAlignment="1">
      <alignment vertical="center" wrapText="1"/>
    </xf>
    <xf numFmtId="0" fontId="2" fillId="0" borderId="4" xfId="0" applyFont="1" applyFill="1" applyBorder="1" applyAlignment="1">
      <alignment horizontal="right"/>
    </xf>
    <xf numFmtId="0" fontId="2" fillId="0" borderId="4" xfId="0" applyFont="1" applyFill="1" applyBorder="1" applyAlignment="1"/>
    <xf numFmtId="164" fontId="2" fillId="0" borderId="4" xfId="0" applyNumberFormat="1" applyFont="1" applyFill="1" applyBorder="1"/>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0" fontId="9" fillId="0" borderId="4" xfId="0" applyFont="1" applyFill="1" applyBorder="1" applyAlignment="1"/>
    <xf numFmtId="0" fontId="2" fillId="0" borderId="4" xfId="0" applyFont="1" applyFill="1" applyBorder="1" applyAlignment="1">
      <alignment horizontal="right" vertical="center"/>
    </xf>
    <xf numFmtId="0" fontId="2" fillId="0" borderId="4" xfId="0" applyFont="1" applyFill="1" applyBorder="1" applyAlignment="1">
      <alignment horizontal="right" vertical="center" wrapText="1"/>
    </xf>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8" xfId="0" applyFont="1" applyFill="1" applyBorder="1" applyAlignment="1"/>
    <xf numFmtId="0" fontId="9" fillId="0" borderId="7" xfId="0" applyFont="1" applyFill="1" applyBorder="1" applyAlignment="1"/>
    <xf numFmtId="0" fontId="9" fillId="0" borderId="21" xfId="0" applyFont="1" applyFill="1" applyBorder="1" applyAlignment="1"/>
    <xf numFmtId="0" fontId="9" fillId="0" borderId="11"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11" fillId="0" borderId="0" xfId="0" applyFont="1" applyFill="1" applyBorder="1" applyAlignment="1">
      <alignment vertical="center"/>
    </xf>
    <xf numFmtId="0" fontId="9" fillId="0" borderId="23" xfId="0" applyFont="1" applyFill="1" applyBorder="1" applyAlignment="1"/>
    <xf numFmtId="0" fontId="9" fillId="0" borderId="16" xfId="0" applyFont="1" applyFill="1" applyBorder="1" applyAlignment="1"/>
    <xf numFmtId="0" fontId="9" fillId="0" borderId="24" xfId="0" applyFont="1" applyFill="1" applyBorder="1" applyAlignment="1"/>
    <xf numFmtId="0" fontId="9" fillId="0" borderId="25"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0" fontId="2" fillId="2" borderId="0" xfId="0" applyFont="1" applyFill="1"/>
    <xf numFmtId="2" fontId="2" fillId="0" borderId="0" xfId="0" applyNumberFormat="1" applyFont="1"/>
    <xf numFmtId="20" fontId="2" fillId="0" borderId="2" xfId="0" applyNumberFormat="1" applyFont="1" applyBorder="1" applyAlignment="1">
      <alignment horizontal="center"/>
    </xf>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164" fontId="2" fillId="0" borderId="4" xfId="0" applyNumberFormat="1" applyFont="1" applyBorder="1"/>
    <xf numFmtId="0" fontId="2" fillId="0" borderId="29" xfId="0" quotePrefix="1" applyFont="1" applyBorder="1" applyAlignment="1">
      <alignment horizontal="center"/>
    </xf>
    <xf numFmtId="0" fontId="2" fillId="0" borderId="29" xfId="0" applyFont="1" applyBorder="1" applyAlignment="1">
      <alignment horizontal="center" vertical="center"/>
    </xf>
    <xf numFmtId="0" fontId="2" fillId="0" borderId="29" xfId="0" applyFont="1" applyBorder="1" applyAlignment="1">
      <alignment horizontal="center" vertical="center" wrapText="1"/>
    </xf>
    <xf numFmtId="0" fontId="2" fillId="0" borderId="2" xfId="0" quotePrefix="1" applyFont="1" applyBorder="1" applyAlignment="1">
      <alignment horizontal="right"/>
    </xf>
    <xf numFmtId="0" fontId="14" fillId="0" borderId="4" xfId="0" applyFont="1" applyBorder="1" applyAlignment="1">
      <alignment horizontal="center" vertical="center" wrapText="1"/>
    </xf>
    <xf numFmtId="0" fontId="2" fillId="0" borderId="4" xfId="0" applyFont="1" applyBorder="1" applyAlignment="1">
      <alignment horizontal="center" vertical="center"/>
    </xf>
    <xf numFmtId="164" fontId="2" fillId="0" borderId="4" xfId="0" applyNumberFormat="1" applyFont="1" applyBorder="1" applyAlignment="1">
      <alignment horizontal="center"/>
    </xf>
    <xf numFmtId="164" fontId="2" fillId="0" borderId="1" xfId="0" applyNumberFormat="1" applyFont="1" applyBorder="1"/>
    <xf numFmtId="0" fontId="2" fillId="0" borderId="4" xfId="0" applyFont="1" applyBorder="1" applyAlignment="1">
      <alignment horizontal="center"/>
    </xf>
    <xf numFmtId="0" fontId="2" fillId="0" borderId="0" xfId="0" applyFont="1" applyBorder="1" applyAlignment="1">
      <alignment vertical="center"/>
    </xf>
    <xf numFmtId="0" fontId="2" fillId="2" borderId="4" xfId="0" applyFont="1" applyFill="1" applyBorder="1"/>
    <xf numFmtId="0" fontId="2" fillId="0" borderId="0" xfId="0" applyFont="1" applyBorder="1" applyAlignment="1"/>
    <xf numFmtId="0" fontId="2" fillId="0" borderId="0" xfId="0" applyFont="1" applyBorder="1" applyAlignment="1">
      <alignment horizontal="left"/>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2" fillId="0" borderId="0" xfId="0" applyFont="1" applyAlignment="1">
      <alignment vertical="top"/>
    </xf>
    <xf numFmtId="0" fontId="2" fillId="0" borderId="0" xfId="0" applyFont="1" applyAlignment="1">
      <alignment vertical="center"/>
    </xf>
    <xf numFmtId="0" fontId="2" fillId="0" borderId="0" xfId="0" applyFont="1" applyBorder="1" applyAlignment="1">
      <alignment horizontal="right" vertical="center"/>
    </xf>
    <xf numFmtId="0" fontId="2" fillId="0" borderId="4" xfId="0" quotePrefix="1" applyFont="1" applyBorder="1" applyAlignment="1">
      <alignment horizontal="center"/>
    </xf>
    <xf numFmtId="0" fontId="11" fillId="0" borderId="0" xfId="0" applyFont="1" applyBorder="1" applyAlignment="1">
      <alignment vertical="center"/>
    </xf>
    <xf numFmtId="0" fontId="2" fillId="0" borderId="4" xfId="0" applyFont="1" applyFill="1" applyBorder="1" applyAlignment="1">
      <alignment horizontal="center" vertical="center" wrapText="1"/>
    </xf>
    <xf numFmtId="0" fontId="2" fillId="0" borderId="0" xfId="0" quotePrefix="1" applyFont="1" applyBorder="1" applyAlignment="1">
      <alignment horizontal="center"/>
    </xf>
    <xf numFmtId="0" fontId="2" fillId="0" borderId="0" xfId="0" applyFont="1" applyBorder="1" applyAlignment="1">
      <alignment horizontal="center" vertical="center" wrapText="1"/>
    </xf>
    <xf numFmtId="0" fontId="10" fillId="0" borderId="0" xfId="0" applyFont="1"/>
    <xf numFmtId="0" fontId="14" fillId="0" borderId="0" xfId="0" applyFont="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4" xfId="0" quotePrefix="1" applyNumberFormat="1" applyFont="1" applyBorder="1" applyAlignment="1">
      <alignment horizontal="center"/>
    </xf>
    <xf numFmtId="0" fontId="2" fillId="0" borderId="0" xfId="0" quotePrefix="1" applyFont="1" applyBorder="1" applyAlignment="1">
      <alignment horizontal="center" wrapText="1"/>
    </xf>
    <xf numFmtId="0" fontId="2" fillId="4" borderId="4" xfId="0" applyFont="1" applyFill="1" applyBorder="1" applyAlignment="1">
      <alignment horizontal="center" wrapText="1"/>
    </xf>
    <xf numFmtId="0" fontId="2" fillId="4" borderId="4" xfId="0" applyFont="1" applyFill="1" applyBorder="1" applyAlignment="1">
      <alignment horizontal="center" vertical="center"/>
    </xf>
    <xf numFmtId="0" fontId="2" fillId="0" borderId="13" xfId="0" applyFont="1" applyFill="1" applyBorder="1"/>
    <xf numFmtId="0" fontId="2" fillId="0" borderId="2" xfId="0" applyFont="1" applyFill="1" applyBorder="1"/>
    <xf numFmtId="0" fontId="2" fillId="0" borderId="11" xfId="0" applyFont="1" applyFill="1" applyBorder="1"/>
    <xf numFmtId="0" fontId="15"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7" fillId="0" borderId="0" xfId="0" applyFont="1" applyFill="1"/>
    <xf numFmtId="0" fontId="15" fillId="0" borderId="0" xfId="0" applyFont="1" applyAlignment="1">
      <alignment horizontal="left" vertical="top" wrapText="1"/>
    </xf>
    <xf numFmtId="0" fontId="15" fillId="0" borderId="0" xfId="0" applyFont="1" applyAlignment="1">
      <alignment vertical="top" wrapText="1"/>
    </xf>
    <xf numFmtId="0" fontId="9" fillId="0" borderId="1" xfId="0" applyFont="1" applyBorder="1"/>
    <xf numFmtId="0" fontId="2" fillId="0" borderId="1" xfId="0" applyFont="1" applyBorder="1" applyAlignment="1">
      <alignment horizontal="left"/>
    </xf>
    <xf numFmtId="0" fontId="2" fillId="0" borderId="0" xfId="0" applyFont="1" applyFill="1" applyBorder="1" applyAlignment="1">
      <alignment horizontal="center"/>
    </xf>
    <xf numFmtId="43" fontId="2" fillId="0" borderId="4" xfId="0" applyNumberFormat="1" applyFont="1" applyBorder="1"/>
    <xf numFmtId="0" fontId="2" fillId="5" borderId="5" xfId="0" quotePrefix="1" applyFont="1" applyFill="1" applyBorder="1" applyAlignment="1">
      <alignment horizontal="center" vertical="center"/>
    </xf>
    <xf numFmtId="0" fontId="2" fillId="5" borderId="9" xfId="0" applyFont="1" applyFill="1" applyBorder="1" applyAlignment="1">
      <alignment horizontal="right" vertical="center" wrapText="1"/>
    </xf>
    <xf numFmtId="0" fontId="2" fillId="5" borderId="6" xfId="0" quotePrefix="1" applyFont="1" applyFill="1" applyBorder="1" applyAlignment="1">
      <alignment horizontal="center" vertical="center"/>
    </xf>
    <xf numFmtId="0" fontId="2" fillId="0" borderId="8" xfId="0" applyFont="1" applyFill="1" applyBorder="1" applyAlignment="1">
      <alignment horizontal="right"/>
    </xf>
    <xf numFmtId="0" fontId="2" fillId="5" borderId="10" xfId="0" quotePrefix="1" applyFont="1" applyFill="1" applyBorder="1" applyAlignment="1">
      <alignment horizontal="center" vertical="center"/>
    </xf>
    <xf numFmtId="0" fontId="2" fillId="5" borderId="12" xfId="0" applyFont="1" applyFill="1" applyBorder="1" applyAlignment="1">
      <alignment horizontal="right" vertical="center" wrapText="1"/>
    </xf>
    <xf numFmtId="0" fontId="2" fillId="5" borderId="10" xfId="0" applyFont="1" applyFill="1" applyBorder="1" applyAlignment="1">
      <alignment horizontal="center" vertical="center"/>
    </xf>
    <xf numFmtId="0" fontId="2" fillId="0" borderId="4" xfId="0" applyFont="1" applyFill="1" applyBorder="1" applyAlignment="1">
      <alignment vertical="center"/>
    </xf>
    <xf numFmtId="164" fontId="2" fillId="5" borderId="10" xfId="0" quotePrefix="1" applyNumberFormat="1" applyFont="1" applyFill="1" applyBorder="1" applyAlignment="1">
      <alignment horizontal="center" vertical="center"/>
    </xf>
    <xf numFmtId="0" fontId="2" fillId="0" borderId="4" xfId="0" quotePrefix="1" applyFont="1" applyFill="1" applyBorder="1" applyAlignment="1"/>
    <xf numFmtId="0" fontId="2" fillId="5" borderId="14" xfId="0" applyFont="1" applyFill="1" applyBorder="1" applyAlignment="1">
      <alignment horizontal="center" vertical="center"/>
    </xf>
    <xf numFmtId="0" fontId="2" fillId="0" borderId="17" xfId="0" applyFont="1" applyFill="1" applyBorder="1" applyAlignment="1">
      <alignment horizontal="right" vertical="center" wrapText="1"/>
    </xf>
    <xf numFmtId="0" fontId="2" fillId="0" borderId="17" xfId="0" applyFont="1" applyFill="1" applyBorder="1" applyAlignment="1"/>
    <xf numFmtId="0" fontId="2" fillId="0" borderId="17" xfId="0" applyFont="1" applyFill="1" applyBorder="1" applyAlignment="1">
      <alignment horizontal="right" vertical="center"/>
    </xf>
    <xf numFmtId="164" fontId="2" fillId="0" borderId="0" xfId="0" applyNumberFormat="1" applyFont="1" applyFill="1" applyBorder="1"/>
    <xf numFmtId="0" fontId="2" fillId="5" borderId="0" xfId="0" applyFont="1" applyFill="1" applyBorder="1"/>
    <xf numFmtId="0" fontId="3" fillId="5" borderId="0" xfId="0" applyFont="1" applyFill="1" applyBorder="1"/>
    <xf numFmtId="0" fontId="0" fillId="5" borderId="0" xfId="0" applyFill="1" applyAlignment="1">
      <alignment horizontal="center"/>
    </xf>
    <xf numFmtId="164" fontId="0" fillId="5" borderId="0" xfId="0" applyNumberFormat="1" applyFill="1" applyAlignment="1">
      <alignment horizontal="center"/>
    </xf>
    <xf numFmtId="2" fontId="2" fillId="5" borderId="0" xfId="0" applyNumberFormat="1" applyFont="1" applyFill="1" applyBorder="1"/>
    <xf numFmtId="0" fontId="0" fillId="5" borderId="0" xfId="0" applyFill="1"/>
    <xf numFmtId="164" fontId="2" fillId="5" borderId="4" xfId="0" applyNumberFormat="1" applyFont="1" applyFill="1" applyBorder="1" applyAlignment="1">
      <alignment horizontal="center"/>
    </xf>
    <xf numFmtId="164" fontId="2" fillId="5" borderId="30" xfId="0" applyNumberFormat="1" applyFont="1" applyFill="1" applyBorder="1" applyAlignment="1">
      <alignment horizontal="center"/>
    </xf>
    <xf numFmtId="0" fontId="2" fillId="5" borderId="4" xfId="0" applyFont="1" applyFill="1" applyBorder="1" applyAlignment="1">
      <alignment horizontal="center" vertical="center" wrapText="1"/>
    </xf>
    <xf numFmtId="164" fontId="2" fillId="5" borderId="4" xfId="0" applyNumberFormat="1" applyFont="1" applyFill="1" applyBorder="1" applyAlignment="1">
      <alignment horizontal="center" vertical="center" wrapText="1"/>
    </xf>
    <xf numFmtId="0" fontId="2" fillId="5" borderId="4" xfId="0" applyFont="1" applyFill="1" applyBorder="1"/>
    <xf numFmtId="0" fontId="2" fillId="5" borderId="31" xfId="0" applyFont="1" applyFill="1" applyBorder="1"/>
    <xf numFmtId="165" fontId="2" fillId="5" borderId="0" xfId="1" applyNumberFormat="1" applyFont="1" applyFill="1"/>
    <xf numFmtId="164" fontId="2" fillId="5" borderId="4" xfId="0" applyNumberFormat="1" applyFont="1" applyFill="1" applyBorder="1" applyAlignment="1">
      <alignment horizontal="left"/>
    </xf>
    <xf numFmtId="164" fontId="2" fillId="5" borderId="4" xfId="0" quotePrefix="1" applyNumberFormat="1" applyFont="1" applyFill="1" applyBorder="1" applyAlignment="1">
      <alignment horizontal="left"/>
    </xf>
    <xf numFmtId="0" fontId="2" fillId="5" borderId="4" xfId="0" applyFont="1" applyFill="1" applyBorder="1" applyAlignment="1">
      <alignment horizontal="left"/>
    </xf>
    <xf numFmtId="9" fontId="2" fillId="0" borderId="4" xfId="1" applyNumberFormat="1" applyFont="1" applyBorder="1"/>
    <xf numFmtId="0" fontId="2" fillId="5" borderId="0" xfId="0" applyFont="1" applyFill="1"/>
    <xf numFmtId="0" fontId="0" fillId="0" borderId="0" xfId="0" applyAlignment="1">
      <alignment vertical="center"/>
    </xf>
    <xf numFmtId="0" fontId="15" fillId="0" borderId="0" xfId="0" applyFont="1" applyAlignment="1">
      <alignment horizontal="left" vertical="top" wrapText="1"/>
    </xf>
    <xf numFmtId="0" fontId="2" fillId="0" borderId="13" xfId="0" applyFont="1" applyFill="1" applyBorder="1" applyAlignment="1">
      <alignment horizontal="left"/>
    </xf>
    <xf numFmtId="0" fontId="2" fillId="0" borderId="2" xfId="0" applyFont="1" applyFill="1" applyBorder="1" applyAlignment="1">
      <alignment horizontal="left"/>
    </xf>
    <xf numFmtId="0" fontId="2" fillId="0" borderId="11" xfId="0" applyFont="1" applyFill="1" applyBorder="1" applyAlignment="1">
      <alignment horizontal="left"/>
    </xf>
    <xf numFmtId="0" fontId="16" fillId="0" borderId="0" xfId="0" applyFont="1" applyBorder="1" applyAlignment="1">
      <alignment horizontal="center"/>
    </xf>
    <xf numFmtId="0" fontId="18" fillId="0" borderId="0" xfId="0" applyFont="1" applyAlignment="1">
      <alignment horizontal="center" vertical="top"/>
    </xf>
    <xf numFmtId="0" fontId="4" fillId="0" borderId="0" xfId="0" applyFont="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11" fillId="0" borderId="26" xfId="0" applyFont="1" applyBorder="1" applyAlignment="1">
      <alignment horizontal="center"/>
    </xf>
    <xf numFmtId="0" fontId="11" fillId="0" borderId="27" xfId="0" applyFont="1" applyBorder="1" applyAlignment="1">
      <alignment horizontal="center"/>
    </xf>
    <xf numFmtId="0" fontId="11" fillId="0" borderId="28" xfId="0" applyFont="1" applyBorder="1" applyAlignment="1">
      <alignment horizont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Fill="1" applyBorder="1" applyAlignment="1">
      <alignment horizontal="center"/>
    </xf>
    <xf numFmtId="0" fontId="9" fillId="0" borderId="19" xfId="0" applyFont="1" applyFill="1" applyBorder="1" applyAlignment="1">
      <alignment horizontal="center"/>
    </xf>
    <xf numFmtId="0" fontId="9" fillId="0" borderId="20" xfId="0" applyFont="1" applyFill="1" applyBorder="1" applyAlignment="1">
      <alignment horizontal="center"/>
    </xf>
    <xf numFmtId="0" fontId="9" fillId="0" borderId="13" xfId="0" applyFont="1" applyFill="1" applyBorder="1" applyAlignment="1">
      <alignment horizontal="center"/>
    </xf>
    <xf numFmtId="0" fontId="9" fillId="0" borderId="22" xfId="0" applyFont="1" applyFill="1" applyBorder="1" applyAlignment="1">
      <alignment horizontal="center"/>
    </xf>
    <xf numFmtId="0" fontId="9" fillId="0" borderId="24" xfId="0" applyFont="1" applyFill="1" applyBorder="1" applyAlignment="1">
      <alignment horizontal="center"/>
    </xf>
    <xf numFmtId="0" fontId="9" fillId="0" borderId="25" xfId="0" applyFont="1" applyFill="1" applyBorder="1" applyAlignment="1">
      <alignment horizontal="center"/>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 xfId="0" applyFont="1" applyFill="1" applyBorder="1" applyAlignment="1">
      <alignment horizontal="left"/>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0" fillId="5"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chartsheet" Target="chartsheets/sheet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TK 5</a:t>
            </a:r>
            <a:endParaRPr lang="en-US"/>
          </a:p>
        </c:rich>
      </c:tx>
      <c:layout>
        <c:manualLayout>
          <c:xMode val="edge"/>
          <c:yMode val="edge"/>
          <c:x val="0.38203015176233662"/>
          <c:y val="2.8337641887433578E-2"/>
        </c:manualLayout>
      </c:layout>
      <c:overlay val="1"/>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0"/>
          <c:order val="10"/>
          <c:tx>
            <c:v>Pebble Count Left</c:v>
          </c:tx>
          <c:spPr>
            <a:ln w="28575">
              <a:solidFill>
                <a:schemeClr val="accent6">
                  <a:lumMod val="75000"/>
                </a:schemeClr>
              </a:solidFill>
              <a:prstDash val="dashDot"/>
            </a:ln>
          </c:spPr>
          <c:marker>
            <c:symbol val="none"/>
          </c:marker>
          <c:xVal>
            <c:numRef>
              <c:f>Surface!$B$13:$B$28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Surface!$H$13:$H$28</c:f>
              <c:numCache>
                <c:formatCode>General</c:formatCode>
                <c:ptCount val="16"/>
                <c:pt idx="0">
                  <c:v>0</c:v>
                </c:pt>
                <c:pt idx="1">
                  <c:v>0</c:v>
                </c:pt>
                <c:pt idx="2">
                  <c:v>2</c:v>
                </c:pt>
                <c:pt idx="3">
                  <c:v>6</c:v>
                </c:pt>
                <c:pt idx="4">
                  <c:v>10</c:v>
                </c:pt>
                <c:pt idx="5">
                  <c:v>20</c:v>
                </c:pt>
                <c:pt idx="6">
                  <c:v>29</c:v>
                </c:pt>
                <c:pt idx="7">
                  <c:v>42</c:v>
                </c:pt>
                <c:pt idx="8">
                  <c:v>55</c:v>
                </c:pt>
                <c:pt idx="9">
                  <c:v>70</c:v>
                </c:pt>
                <c:pt idx="10">
                  <c:v>80</c:v>
                </c:pt>
                <c:pt idx="11">
                  <c:v>94</c:v>
                </c:pt>
                <c:pt idx="12">
                  <c:v>97</c:v>
                </c:pt>
                <c:pt idx="13">
                  <c:v>99</c:v>
                </c:pt>
                <c:pt idx="14">
                  <c:v>100</c:v>
                </c:pt>
                <c:pt idx="15">
                  <c:v>100</c:v>
                </c:pt>
              </c:numCache>
            </c:numRef>
          </c:yVal>
          <c:smooth val="0"/>
        </c:ser>
        <c:ser>
          <c:idx val="2"/>
          <c:order val="11"/>
          <c:tx>
            <c:v>Pebble Count Center</c:v>
          </c:tx>
          <c:spPr>
            <a:ln w="19050">
              <a:solidFill>
                <a:schemeClr val="accent6">
                  <a:lumMod val="75000"/>
                </a:schemeClr>
              </a:solidFill>
            </a:ln>
          </c:spPr>
          <c:marker>
            <c:symbol val="none"/>
          </c:marker>
          <c:xVal>
            <c:numRef>
              <c:f>Surface!$I$13:$I$28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Surface!$O$13:$O$28</c:f>
              <c:numCache>
                <c:formatCode>General</c:formatCode>
                <c:ptCount val="16"/>
                <c:pt idx="0">
                  <c:v>0</c:v>
                </c:pt>
                <c:pt idx="1">
                  <c:v>0</c:v>
                </c:pt>
                <c:pt idx="2">
                  <c:v>1</c:v>
                </c:pt>
                <c:pt idx="3">
                  <c:v>4</c:v>
                </c:pt>
                <c:pt idx="4">
                  <c:v>7</c:v>
                </c:pt>
                <c:pt idx="5">
                  <c:v>11</c:v>
                </c:pt>
                <c:pt idx="6">
                  <c:v>24</c:v>
                </c:pt>
                <c:pt idx="7">
                  <c:v>36</c:v>
                </c:pt>
                <c:pt idx="8">
                  <c:v>54</c:v>
                </c:pt>
                <c:pt idx="9">
                  <c:v>68</c:v>
                </c:pt>
                <c:pt idx="10">
                  <c:v>79</c:v>
                </c:pt>
                <c:pt idx="11">
                  <c:v>91</c:v>
                </c:pt>
                <c:pt idx="12">
                  <c:v>95</c:v>
                </c:pt>
                <c:pt idx="13">
                  <c:v>100</c:v>
                </c:pt>
                <c:pt idx="14">
                  <c:v>100</c:v>
                </c:pt>
                <c:pt idx="15">
                  <c:v>100</c:v>
                </c:pt>
              </c:numCache>
            </c:numRef>
          </c:yVal>
          <c:smooth val="0"/>
        </c:ser>
        <c:ser>
          <c:idx val="4"/>
          <c:order val="12"/>
          <c:tx>
            <c:v>Pebble Count Right</c:v>
          </c:tx>
          <c:spPr>
            <a:ln>
              <a:solidFill>
                <a:schemeClr val="accent6">
                  <a:lumMod val="75000"/>
                </a:schemeClr>
              </a:solidFill>
              <a:prstDash val="sysDash"/>
            </a:ln>
          </c:spPr>
          <c:marker>
            <c:symbol val="none"/>
          </c:marker>
          <c:xVal>
            <c:numRef>
              <c:f>Surface!$P$13:$P$28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Surface!$V$13:$V$28</c:f>
              <c:numCache>
                <c:formatCode>General</c:formatCode>
                <c:ptCount val="16"/>
                <c:pt idx="0">
                  <c:v>0</c:v>
                </c:pt>
                <c:pt idx="1">
                  <c:v>0</c:v>
                </c:pt>
                <c:pt idx="2">
                  <c:v>1</c:v>
                </c:pt>
                <c:pt idx="3">
                  <c:v>4</c:v>
                </c:pt>
                <c:pt idx="4">
                  <c:v>12</c:v>
                </c:pt>
                <c:pt idx="5">
                  <c:v>18</c:v>
                </c:pt>
                <c:pt idx="6">
                  <c:v>26</c:v>
                </c:pt>
                <c:pt idx="7">
                  <c:v>49</c:v>
                </c:pt>
                <c:pt idx="8">
                  <c:v>58</c:v>
                </c:pt>
                <c:pt idx="9">
                  <c:v>72</c:v>
                </c:pt>
                <c:pt idx="10">
                  <c:v>85</c:v>
                </c:pt>
                <c:pt idx="11">
                  <c:v>94</c:v>
                </c:pt>
                <c:pt idx="12">
                  <c:v>98</c:v>
                </c:pt>
                <c:pt idx="13">
                  <c:v>100</c:v>
                </c:pt>
                <c:pt idx="14">
                  <c:v>100</c:v>
                </c:pt>
                <c:pt idx="15">
                  <c:v>100</c:v>
                </c:pt>
              </c:numCache>
            </c:numRef>
          </c:yVal>
          <c:smooth val="0"/>
        </c:ser>
        <c:ser>
          <c:idx val="10"/>
          <c:order val="13"/>
          <c:tx>
            <c:v>Pebble Count Average</c:v>
          </c:tx>
          <c:spPr>
            <a:ln w="38100">
              <a:solidFill>
                <a:schemeClr val="accent6">
                  <a:lumMod val="75000"/>
                </a:schemeClr>
              </a:solidFill>
              <a:prstDash val="solid"/>
            </a:ln>
          </c:spPr>
          <c:marker>
            <c:symbol val="none"/>
          </c:marker>
          <c:xVal>
            <c:numRef>
              <c:f>Surface!$P$13:$P$28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Surface!$W$13:$W$28</c:f>
              <c:numCache>
                <c:formatCode>0.0</c:formatCode>
                <c:ptCount val="16"/>
                <c:pt idx="0">
                  <c:v>0</c:v>
                </c:pt>
                <c:pt idx="1">
                  <c:v>0</c:v>
                </c:pt>
                <c:pt idx="2">
                  <c:v>1.3333333333333333</c:v>
                </c:pt>
                <c:pt idx="3">
                  <c:v>4.666666666666667</c:v>
                </c:pt>
                <c:pt idx="4">
                  <c:v>9.6666666666666661</c:v>
                </c:pt>
                <c:pt idx="5">
                  <c:v>16.333333333333332</c:v>
                </c:pt>
                <c:pt idx="6">
                  <c:v>26.333333333333332</c:v>
                </c:pt>
                <c:pt idx="7">
                  <c:v>42.333333333333336</c:v>
                </c:pt>
                <c:pt idx="8">
                  <c:v>55.666666666666664</c:v>
                </c:pt>
                <c:pt idx="9">
                  <c:v>70</c:v>
                </c:pt>
                <c:pt idx="10">
                  <c:v>81.333333333333329</c:v>
                </c:pt>
                <c:pt idx="11">
                  <c:v>93</c:v>
                </c:pt>
                <c:pt idx="12">
                  <c:v>96.666666666666671</c:v>
                </c:pt>
                <c:pt idx="13">
                  <c:v>99.666666666666671</c:v>
                </c:pt>
                <c:pt idx="14">
                  <c:v>100</c:v>
                </c:pt>
                <c:pt idx="15">
                  <c:v>100</c:v>
                </c:pt>
              </c:numCache>
            </c:numRef>
          </c:yVal>
          <c:smooth val="0"/>
        </c:ser>
        <c:ser>
          <c:idx val="1"/>
          <c:order val="14"/>
          <c:tx>
            <c:v>Subsurface: Field and Lab </c:v>
          </c:tx>
          <c:spPr>
            <a:ln w="38100">
              <a:solidFill>
                <a:srgbClr val="0070C0"/>
              </a:solidFill>
              <a:prstDash val="solid"/>
            </a:ln>
          </c:spPr>
          <c:marker>
            <c:symbol val="none"/>
          </c:marker>
          <c:xVal>
            <c:numRef>
              <c:f>SubS!$AD$8:$AD$25</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SubS!$AK$8:$AK$25</c:f>
              <c:numCache>
                <c:formatCode>_(* #,##0.00_);_(* \(#,##0.00\);_(* "-"??_);_(@_)</c:formatCode>
                <c:ptCount val="18"/>
                <c:pt idx="0">
                  <c:v>100</c:v>
                </c:pt>
                <c:pt idx="1">
                  <c:v>100</c:v>
                </c:pt>
                <c:pt idx="2">
                  <c:v>100</c:v>
                </c:pt>
                <c:pt idx="3">
                  <c:v>92.686015684137885</c:v>
                </c:pt>
                <c:pt idx="4">
                  <c:v>90.857519605172342</c:v>
                </c:pt>
                <c:pt idx="5">
                  <c:v>83.772097299180913</c:v>
                </c:pt>
                <c:pt idx="6">
                  <c:v>77.702506148170329</c:v>
                </c:pt>
                <c:pt idx="7">
                  <c:v>67.594986156110878</c:v>
                </c:pt>
                <c:pt idx="8">
                  <c:v>55.074867170971899</c:v>
                </c:pt>
                <c:pt idx="9">
                  <c:v>42.808705974578146</c:v>
                </c:pt>
                <c:pt idx="10">
                  <c:v>34.675051839408297</c:v>
                </c:pt>
                <c:pt idx="11">
                  <c:v>29.966094182204699</c:v>
                </c:pt>
                <c:pt idx="12">
                  <c:v>25.257136525001101</c:v>
                </c:pt>
                <c:pt idx="13">
                  <c:v>19.692004748305948</c:v>
                </c:pt>
                <c:pt idx="14">
                  <c:v>11.130263553390316</c:v>
                </c:pt>
                <c:pt idx="15">
                  <c:v>2.9966094182204701</c:v>
                </c:pt>
                <c:pt idx="16">
                  <c:v>0.85617411949156286</c:v>
                </c:pt>
                <c:pt idx="17">
                  <c:v>0.42808705974578143</c:v>
                </c:pt>
              </c:numCache>
            </c:numRef>
          </c:yVal>
          <c:smooth val="0"/>
        </c:ser>
        <c:dLbls>
          <c:showLegendKey val="0"/>
          <c:showVal val="0"/>
          <c:showCatName val="0"/>
          <c:showSerName val="0"/>
          <c:showPercent val="0"/>
          <c:showBubbleSize val="0"/>
        </c:dLbls>
        <c:axId val="136938624"/>
        <c:axId val="136940544"/>
      </c:scatterChart>
      <c:valAx>
        <c:axId val="136938624"/>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136940544"/>
        <c:crosses val="autoZero"/>
        <c:crossBetween val="midCat"/>
        <c:majorUnit val="10"/>
        <c:minorUnit val="10"/>
      </c:valAx>
      <c:valAx>
        <c:axId val="136940544"/>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136938624"/>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32082218289565734"/>
          <c:h val="0.18386077260715869"/>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7</xdr:col>
      <xdr:colOff>495301</xdr:colOff>
      <xdr:row>0</xdr:row>
      <xdr:rowOff>51079</xdr:rowOff>
    </xdr:from>
    <xdr:ext cx="1905000" cy="383261"/>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067426" y="51079"/>
          <a:ext cx="1905000" cy="383261"/>
        </a:xfrm>
        <a:prstGeom prst="rect">
          <a:avLst/>
        </a:prstGeom>
      </xdr:spPr>
    </xdr:pic>
    <xdr:clientData/>
  </xdr:oneCellAnchor>
  <xdr:oneCellAnchor>
    <xdr:from>
      <xdr:col>10</xdr:col>
      <xdr:colOff>133351</xdr:colOff>
      <xdr:row>1</xdr:row>
      <xdr:rowOff>274319</xdr:rowOff>
    </xdr:from>
    <xdr:ext cx="638174" cy="810362"/>
    <xdr:pic>
      <xdr:nvPicPr>
        <xdr:cNvPr id="3" name="Picture 2"/>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8124826" y="569594"/>
          <a:ext cx="638174" cy="810362"/>
        </a:xfrm>
        <a:prstGeom prst="rect">
          <a:avLst/>
        </a:prstGeom>
      </xdr:spPr>
    </xdr:pic>
    <xdr:clientData/>
  </xdr:oneCellAnchor>
  <xdr:twoCellAnchor>
    <xdr:from>
      <xdr:col>2</xdr:col>
      <xdr:colOff>137160</xdr:colOff>
      <xdr:row>6</xdr:row>
      <xdr:rowOff>414799</xdr:rowOff>
    </xdr:from>
    <xdr:to>
      <xdr:col>3</xdr:col>
      <xdr:colOff>129540</xdr:colOff>
      <xdr:row>7</xdr:row>
      <xdr:rowOff>26670</xdr:rowOff>
    </xdr:to>
    <xdr:sp macro="" textlink="">
      <xdr:nvSpPr>
        <xdr:cNvPr id="4" name="Oval 3"/>
        <xdr:cNvSpPr/>
      </xdr:nvSpPr>
      <xdr:spPr>
        <a:xfrm>
          <a:off x="1508760" y="1738774"/>
          <a:ext cx="840105" cy="33577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11</xdr:col>
      <xdr:colOff>161925</xdr:colOff>
      <xdr:row>0</xdr:row>
      <xdr:rowOff>70037</xdr:rowOff>
    </xdr:from>
    <xdr:to>
      <xdr:col>27</xdr:col>
      <xdr:colOff>154459</xdr:colOff>
      <xdr:row>27</xdr:row>
      <xdr:rowOff>525701</xdr:rowOff>
    </xdr:to>
    <xdr:pic>
      <xdr:nvPicPr>
        <xdr:cNvPr id="5" name="Pictur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01125" y="70037"/>
          <a:ext cx="9622309" cy="6713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62823" cy="62897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175" y="5589920"/>
          <a:ext cx="7230426" cy="386004"/>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12" y="5583819"/>
          <a:ext cx="6957806" cy="399904"/>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5"/>
  <sheetViews>
    <sheetView topLeftCell="AC1" workbookViewId="0">
      <selection activeCell="AK20" sqref="AK20"/>
    </sheetView>
  </sheetViews>
  <sheetFormatPr defaultColWidth="8.85546875" defaultRowHeight="14.25" x14ac:dyDescent="0.2"/>
  <cols>
    <col min="1" max="1" width="8.85546875" style="1"/>
    <col min="2" max="2" width="11.7109375" style="1" customWidth="1"/>
    <col min="3" max="4" width="12.7109375" style="1" customWidth="1"/>
    <col min="5" max="5" width="14.28515625" style="1" customWidth="1"/>
    <col min="6" max="6" width="13" style="1" customWidth="1"/>
    <col min="7" max="7" width="10.28515625" style="1" customWidth="1"/>
    <col min="8" max="8" width="11.28515625" style="1" customWidth="1"/>
    <col min="9" max="9" width="12.28515625" style="1" customWidth="1"/>
    <col min="10" max="11" width="12.7109375" style="1" customWidth="1"/>
    <col min="12" max="13" width="9.140625" style="1" customWidth="1"/>
    <col min="14" max="14" width="8.85546875" style="1"/>
    <col min="15" max="15" width="11" style="1" customWidth="1"/>
    <col min="16" max="29" width="8.85546875" style="1"/>
    <col min="30" max="32" width="9.140625" style="1"/>
    <col min="33" max="33" width="11.140625" style="1" customWidth="1"/>
    <col min="34" max="36" width="9.140625" style="1"/>
    <col min="37" max="37" width="9.42578125" style="1" customWidth="1"/>
    <col min="38" max="16384" width="8.85546875" style="1"/>
  </cols>
  <sheetData>
    <row r="1" spans="2:38" ht="23.25" x14ac:dyDescent="0.35">
      <c r="AD1" s="152" t="s">
        <v>54</v>
      </c>
      <c r="AE1" s="152"/>
      <c r="AF1" s="152"/>
      <c r="AG1" s="152"/>
      <c r="AH1" s="152"/>
      <c r="AI1" s="152"/>
      <c r="AJ1" s="152"/>
      <c r="AK1" s="152"/>
      <c r="AL1"/>
    </row>
    <row r="2" spans="2:38" ht="23.25" x14ac:dyDescent="0.35">
      <c r="B2" s="152" t="s">
        <v>55</v>
      </c>
      <c r="C2" s="152"/>
      <c r="D2" s="152"/>
      <c r="E2" s="152"/>
      <c r="F2" s="152"/>
      <c r="G2" s="152"/>
      <c r="H2" s="152"/>
      <c r="I2" s="152"/>
      <c r="J2" s="152"/>
      <c r="K2" s="152"/>
      <c r="AD2" s="1" t="s">
        <v>56</v>
      </c>
      <c r="AF2" s="57">
        <f>+AE26</f>
        <v>191.3</v>
      </c>
      <c r="AG2" s="1" t="s">
        <v>57</v>
      </c>
      <c r="AL2"/>
    </row>
    <row r="3" spans="2:38" ht="15" x14ac:dyDescent="0.25">
      <c r="B3" s="8" t="s">
        <v>58</v>
      </c>
      <c r="C3" s="6"/>
      <c r="D3" s="20" t="s">
        <v>2</v>
      </c>
      <c r="E3" s="6"/>
      <c r="F3" s="1" t="s">
        <v>5</v>
      </c>
      <c r="G3" s="6" t="s">
        <v>59</v>
      </c>
      <c r="H3" s="6"/>
      <c r="I3" s="6"/>
      <c r="J3" s="6"/>
      <c r="K3" s="8"/>
      <c r="AD3" s="1" t="s">
        <v>60</v>
      </c>
      <c r="AF3" s="58">
        <v>7794</v>
      </c>
      <c r="AG3" s="1" t="s">
        <v>61</v>
      </c>
      <c r="AH3" s="59">
        <f>+AF3*0.0022046</f>
        <v>17.182652400000002</v>
      </c>
      <c r="AI3" s="1" t="s">
        <v>57</v>
      </c>
      <c r="AL3"/>
    </row>
    <row r="4" spans="2:38" ht="15" x14ac:dyDescent="0.25">
      <c r="B4" s="8" t="s">
        <v>10</v>
      </c>
      <c r="C4" s="10">
        <v>41489</v>
      </c>
      <c r="D4" s="60"/>
      <c r="E4" s="9"/>
      <c r="F4" s="13" t="s">
        <v>62</v>
      </c>
      <c r="G4" s="9"/>
      <c r="H4" s="9"/>
      <c r="I4" s="9"/>
      <c r="J4" s="9"/>
      <c r="K4" s="8"/>
      <c r="AD4" s="1" t="s">
        <v>63</v>
      </c>
      <c r="AF4" s="139">
        <f>1-AH3/H42</f>
        <v>0.11883833846153835</v>
      </c>
      <c r="AL4"/>
    </row>
    <row r="5" spans="2:38" ht="15.75" thickBot="1" x14ac:dyDescent="0.3">
      <c r="B5" s="8" t="s">
        <v>13</v>
      </c>
      <c r="C5" s="9" t="s">
        <v>15</v>
      </c>
      <c r="D5" s="16"/>
      <c r="E5" s="9"/>
      <c r="F5" s="13" t="s">
        <v>64</v>
      </c>
      <c r="G5" s="15" t="s">
        <v>65</v>
      </c>
      <c r="H5" s="9"/>
      <c r="I5" s="9"/>
      <c r="J5" s="9"/>
      <c r="K5" s="8"/>
      <c r="AF5" s="61"/>
      <c r="AL5"/>
    </row>
    <row r="6" spans="2:38" ht="15" x14ac:dyDescent="0.25">
      <c r="B6" s="8" t="s">
        <v>66</v>
      </c>
      <c r="C6" s="9"/>
      <c r="D6" s="9" t="s">
        <v>67</v>
      </c>
      <c r="E6" s="9"/>
      <c r="F6" s="13"/>
      <c r="G6" s="9" t="s">
        <v>68</v>
      </c>
      <c r="H6" s="9"/>
      <c r="I6" s="9"/>
      <c r="J6" s="9"/>
      <c r="K6" s="8"/>
      <c r="AE6" s="153" t="s">
        <v>69</v>
      </c>
      <c r="AF6" s="154"/>
      <c r="AG6" s="154"/>
      <c r="AH6" s="155"/>
      <c r="AL6"/>
    </row>
    <row r="7" spans="2:38" ht="43.5" x14ac:dyDescent="0.25">
      <c r="B7" s="6" t="s">
        <v>70</v>
      </c>
      <c r="C7" s="9"/>
      <c r="D7" s="9"/>
      <c r="E7" s="9"/>
      <c r="F7" s="13"/>
      <c r="G7" s="9"/>
      <c r="H7" s="9"/>
      <c r="I7" s="9"/>
      <c r="J7" s="9"/>
      <c r="K7" s="8"/>
      <c r="AE7" s="62" t="s">
        <v>71</v>
      </c>
      <c r="AF7" s="62" t="s">
        <v>72</v>
      </c>
      <c r="AG7" s="63" t="s">
        <v>73</v>
      </c>
      <c r="AH7" s="63" t="s">
        <v>74</v>
      </c>
      <c r="AI7" s="63" t="s">
        <v>75</v>
      </c>
      <c r="AJ7" s="63" t="s">
        <v>76</v>
      </c>
      <c r="AK7" s="63" t="s">
        <v>77</v>
      </c>
      <c r="AL7"/>
    </row>
    <row r="8" spans="2:38" ht="15" x14ac:dyDescent="0.25">
      <c r="B8" s="8" t="s">
        <v>18</v>
      </c>
      <c r="C8" s="9"/>
      <c r="D8" s="9" t="s">
        <v>19</v>
      </c>
      <c r="E8" s="9"/>
      <c r="G8" s="9"/>
      <c r="H8" s="9"/>
      <c r="I8" s="9"/>
      <c r="J8" s="9"/>
      <c r="K8" s="8"/>
      <c r="AD8" s="140">
        <v>360</v>
      </c>
      <c r="AE8" s="64">
        <f t="shared" ref="AE8:AE16" si="0">+H30</f>
        <v>0</v>
      </c>
      <c r="AF8" s="64">
        <f>+AE8</f>
        <v>0</v>
      </c>
      <c r="AG8" s="64">
        <f>+AF8</f>
        <v>0</v>
      </c>
      <c r="AH8" s="65">
        <f t="shared" ref="AH8:AH17" si="1">1-(AG8/AF$27)</f>
        <v>1</v>
      </c>
      <c r="AI8" s="66"/>
      <c r="AJ8" s="66"/>
      <c r="AK8" s="111">
        <f t="shared" ref="AK8:AK17" si="2">+AH8*100</f>
        <v>100</v>
      </c>
      <c r="AL8"/>
    </row>
    <row r="9" spans="2:38" ht="15.75" thickBot="1" x14ac:dyDescent="0.3">
      <c r="G9" s="9"/>
      <c r="H9" s="9"/>
      <c r="I9" s="9"/>
      <c r="J9" s="9"/>
      <c r="K9" s="8"/>
      <c r="AD9" s="140">
        <v>256</v>
      </c>
      <c r="AE9" s="64">
        <f t="shared" si="0"/>
        <v>0</v>
      </c>
      <c r="AF9" s="64">
        <f t="shared" ref="AF9:AF17" si="3">+AE9</f>
        <v>0</v>
      </c>
      <c r="AG9" s="67">
        <f t="shared" ref="AG9:AG17" si="4">+AF9+AG8</f>
        <v>0</v>
      </c>
      <c r="AH9" s="65">
        <f t="shared" si="1"/>
        <v>1</v>
      </c>
      <c r="AI9" s="66"/>
      <c r="AJ9" s="66"/>
      <c r="AK9" s="111">
        <f t="shared" si="2"/>
        <v>100</v>
      </c>
      <c r="AL9"/>
    </row>
    <row r="10" spans="2:38" ht="18.75" thickBot="1" x14ac:dyDescent="0.3">
      <c r="B10" s="156" t="s">
        <v>78</v>
      </c>
      <c r="C10" s="157"/>
      <c r="D10" s="157"/>
      <c r="E10" s="158"/>
      <c r="G10" s="12"/>
      <c r="H10" s="12"/>
      <c r="I10" s="12"/>
      <c r="J10" s="12"/>
      <c r="AD10" s="140">
        <v>180</v>
      </c>
      <c r="AE10" s="64">
        <f t="shared" si="0"/>
        <v>0</v>
      </c>
      <c r="AF10" s="64">
        <f t="shared" si="3"/>
        <v>0</v>
      </c>
      <c r="AG10" s="67">
        <f t="shared" si="4"/>
        <v>0</v>
      </c>
      <c r="AH10" s="65">
        <f t="shared" si="1"/>
        <v>1</v>
      </c>
      <c r="AI10" s="66"/>
      <c r="AJ10" s="66"/>
      <c r="AK10" s="111">
        <f t="shared" si="2"/>
        <v>100</v>
      </c>
      <c r="AL10"/>
    </row>
    <row r="11" spans="2:38" ht="18.75" x14ac:dyDescent="0.35">
      <c r="B11" s="68" t="s">
        <v>79</v>
      </c>
      <c r="C11" s="68" t="s">
        <v>80</v>
      </c>
      <c r="D11" s="68" t="s">
        <v>81</v>
      </c>
      <c r="E11" s="68" t="s">
        <v>82</v>
      </c>
      <c r="G11" s="48" t="s">
        <v>83</v>
      </c>
      <c r="H11" s="6">
        <v>180</v>
      </c>
      <c r="I11" s="6"/>
      <c r="J11" s="8"/>
      <c r="AD11" s="140">
        <v>128</v>
      </c>
      <c r="AE11" s="64">
        <f t="shared" si="0"/>
        <v>28.8</v>
      </c>
      <c r="AF11" s="64">
        <f t="shared" si="3"/>
        <v>28.8</v>
      </c>
      <c r="AG11" s="67">
        <f t="shared" si="4"/>
        <v>28.8</v>
      </c>
      <c r="AH11" s="65">
        <f>1-(AG11/AF$27)</f>
        <v>0.92686015684137879</v>
      </c>
      <c r="AI11" s="66"/>
      <c r="AJ11" s="66"/>
      <c r="AK11" s="111">
        <f t="shared" si="2"/>
        <v>92.686015684137885</v>
      </c>
      <c r="AL11"/>
    </row>
    <row r="12" spans="2:38" ht="42.75" x14ac:dyDescent="0.25">
      <c r="B12" s="69" t="s">
        <v>84</v>
      </c>
      <c r="C12" s="70" t="s">
        <v>85</v>
      </c>
      <c r="D12" s="70" t="s">
        <v>86</v>
      </c>
      <c r="E12" s="70" t="s">
        <v>87</v>
      </c>
      <c r="G12" s="48" t="s">
        <v>88</v>
      </c>
      <c r="H12" s="71">
        <v>0.55000000000000004</v>
      </c>
      <c r="I12" s="9"/>
      <c r="AD12" s="141">
        <v>90</v>
      </c>
      <c r="AE12" s="64">
        <f t="shared" si="0"/>
        <v>7.2</v>
      </c>
      <c r="AF12" s="64">
        <f t="shared" si="3"/>
        <v>7.2</v>
      </c>
      <c r="AG12" s="67">
        <f t="shared" si="4"/>
        <v>36</v>
      </c>
      <c r="AH12" s="65">
        <f t="shared" si="1"/>
        <v>0.90857519605172343</v>
      </c>
      <c r="AI12" s="66"/>
      <c r="AJ12" s="66"/>
      <c r="AK12" s="111">
        <f t="shared" si="2"/>
        <v>90.857519605172342</v>
      </c>
      <c r="AL12"/>
    </row>
    <row r="13" spans="2:38" ht="15" x14ac:dyDescent="0.25">
      <c r="B13" s="69"/>
      <c r="C13" s="70"/>
      <c r="D13" s="70"/>
      <c r="E13" s="72" t="s">
        <v>89</v>
      </c>
      <c r="G13" s="48"/>
      <c r="H13" s="12"/>
      <c r="I13" s="12"/>
      <c r="AD13" s="141">
        <v>64</v>
      </c>
      <c r="AE13" s="64">
        <f t="shared" si="0"/>
        <v>27.900000000000002</v>
      </c>
      <c r="AF13" s="64">
        <f t="shared" si="3"/>
        <v>27.900000000000002</v>
      </c>
      <c r="AG13" s="67">
        <f t="shared" si="4"/>
        <v>63.900000000000006</v>
      </c>
      <c r="AH13" s="65">
        <f t="shared" si="1"/>
        <v>0.83772097299180914</v>
      </c>
      <c r="AI13" s="66"/>
      <c r="AJ13" s="66"/>
      <c r="AK13" s="111">
        <f t="shared" si="2"/>
        <v>83.772097299180913</v>
      </c>
      <c r="AL13"/>
    </row>
    <row r="14" spans="2:38" ht="15" x14ac:dyDescent="0.25">
      <c r="B14" s="73">
        <v>1</v>
      </c>
      <c r="C14" s="74">
        <v>1.7</v>
      </c>
      <c r="D14" s="74">
        <v>93.2</v>
      </c>
      <c r="E14" s="133">
        <f t="shared" ref="E14:E20" si="5">D14-C14</f>
        <v>91.5</v>
      </c>
      <c r="G14" s="48" t="s">
        <v>90</v>
      </c>
      <c r="H14" s="75">
        <v>417.4</v>
      </c>
      <c r="I14" s="6" t="s">
        <v>143</v>
      </c>
      <c r="AD14" s="140">
        <v>45</v>
      </c>
      <c r="AE14" s="64">
        <f t="shared" si="0"/>
        <v>23.900000000000002</v>
      </c>
      <c r="AF14" s="64">
        <f t="shared" si="3"/>
        <v>23.900000000000002</v>
      </c>
      <c r="AG14" s="67">
        <f t="shared" si="4"/>
        <v>87.800000000000011</v>
      </c>
      <c r="AH14" s="65">
        <f t="shared" si="1"/>
        <v>0.77702506148170336</v>
      </c>
      <c r="AI14" s="66"/>
      <c r="AJ14" s="66"/>
      <c r="AK14" s="111">
        <f t="shared" si="2"/>
        <v>77.702506148170329</v>
      </c>
      <c r="AL14"/>
    </row>
    <row r="15" spans="2:38" ht="15" x14ac:dyDescent="0.25">
      <c r="B15" s="73">
        <v>2</v>
      </c>
      <c r="C15" s="74">
        <v>1.7</v>
      </c>
      <c r="D15" s="74">
        <v>86.8</v>
      </c>
      <c r="E15" s="133">
        <f t="shared" si="5"/>
        <v>85.1</v>
      </c>
      <c r="G15" s="159" t="s">
        <v>34</v>
      </c>
      <c r="H15" s="159"/>
      <c r="I15" s="159"/>
      <c r="J15" s="159"/>
      <c r="L15" s="8"/>
      <c r="M15" s="8"/>
      <c r="N15" s="8"/>
      <c r="O15" s="8"/>
      <c r="AD15" s="140">
        <v>32</v>
      </c>
      <c r="AE15" s="64">
        <f t="shared" si="0"/>
        <v>39.799999999999997</v>
      </c>
      <c r="AF15" s="64">
        <f t="shared" si="3"/>
        <v>39.799999999999997</v>
      </c>
      <c r="AG15" s="67">
        <f t="shared" si="4"/>
        <v>127.60000000000001</v>
      </c>
      <c r="AH15" s="65">
        <f t="shared" si="1"/>
        <v>0.67594986156110881</v>
      </c>
      <c r="AI15" s="66"/>
      <c r="AJ15" s="66"/>
      <c r="AK15" s="111">
        <f t="shared" si="2"/>
        <v>67.594986156110878</v>
      </c>
      <c r="AL15"/>
    </row>
    <row r="16" spans="2:38" ht="15" x14ac:dyDescent="0.25">
      <c r="B16" s="73">
        <v>3</v>
      </c>
      <c r="C16" s="74">
        <v>1.7</v>
      </c>
      <c r="D16" s="74">
        <v>93.6</v>
      </c>
      <c r="E16" s="133">
        <f t="shared" si="5"/>
        <v>91.899999999999991</v>
      </c>
      <c r="G16" s="73" t="s">
        <v>91</v>
      </c>
      <c r="H16" s="160" t="s">
        <v>36</v>
      </c>
      <c r="I16" s="161"/>
      <c r="J16" s="161"/>
      <c r="K16" s="162"/>
      <c r="L16" s="8"/>
      <c r="M16" s="8"/>
      <c r="N16" s="8"/>
      <c r="O16" s="8"/>
      <c r="AD16" s="140">
        <v>22.5</v>
      </c>
      <c r="AE16" s="64">
        <f t="shared" si="0"/>
        <v>49.3</v>
      </c>
      <c r="AF16" s="64">
        <f t="shared" si="3"/>
        <v>49.3</v>
      </c>
      <c r="AG16" s="67">
        <f t="shared" si="4"/>
        <v>176.9</v>
      </c>
      <c r="AH16" s="65">
        <f t="shared" si="1"/>
        <v>0.55074867170971897</v>
      </c>
      <c r="AI16" s="66"/>
      <c r="AJ16" s="66"/>
      <c r="AK16" s="111">
        <f t="shared" si="2"/>
        <v>55.074867170971899</v>
      </c>
      <c r="AL16"/>
    </row>
    <row r="17" spans="2:38" ht="15" x14ac:dyDescent="0.25">
      <c r="B17" s="73">
        <v>4</v>
      </c>
      <c r="C17" s="74">
        <v>1.7</v>
      </c>
      <c r="D17" s="74">
        <v>82</v>
      </c>
      <c r="E17" s="133">
        <f t="shared" si="5"/>
        <v>80.3</v>
      </c>
      <c r="F17" s="13" t="s">
        <v>92</v>
      </c>
      <c r="G17" s="76">
        <v>637</v>
      </c>
      <c r="H17" s="147" t="s">
        <v>93</v>
      </c>
      <c r="I17" s="148"/>
      <c r="J17" s="148"/>
      <c r="K17" s="149"/>
      <c r="L17" s="77"/>
      <c r="M17" s="77"/>
      <c r="N17" s="77"/>
      <c r="O17" s="77"/>
      <c r="AD17" s="140">
        <v>16</v>
      </c>
      <c r="AE17" s="67">
        <f>+H39</f>
        <v>48.3</v>
      </c>
      <c r="AF17" s="64">
        <f t="shared" si="3"/>
        <v>48.3</v>
      </c>
      <c r="AG17" s="67">
        <f t="shared" si="4"/>
        <v>225.2</v>
      </c>
      <c r="AH17" s="65">
        <f t="shared" si="1"/>
        <v>0.42808705974578143</v>
      </c>
      <c r="AI17" s="78">
        <v>100</v>
      </c>
      <c r="AJ17" s="65">
        <f t="shared" ref="AJ17:AJ25" si="6">+AI17/100*AH$17</f>
        <v>0.42808705974578143</v>
      </c>
      <c r="AK17" s="111">
        <f t="shared" si="2"/>
        <v>42.808705974578146</v>
      </c>
      <c r="AL17"/>
    </row>
    <row r="18" spans="2:38" ht="15" x14ac:dyDescent="0.25">
      <c r="B18" s="73">
        <v>5</v>
      </c>
      <c r="C18" s="74">
        <v>1.7</v>
      </c>
      <c r="D18" s="74">
        <v>86.8</v>
      </c>
      <c r="E18" s="133">
        <f t="shared" si="5"/>
        <v>85.1</v>
      </c>
      <c r="G18" s="76">
        <v>638</v>
      </c>
      <c r="H18" s="147" t="s">
        <v>94</v>
      </c>
      <c r="I18" s="148"/>
      <c r="J18" s="148"/>
      <c r="K18" s="149"/>
      <c r="L18" s="79"/>
      <c r="M18" s="79"/>
      <c r="N18" s="79"/>
      <c r="O18" s="79"/>
      <c r="AD18" s="140">
        <v>8</v>
      </c>
      <c r="AE18" s="66"/>
      <c r="AF18" s="66"/>
      <c r="AG18" s="66"/>
      <c r="AH18" s="66"/>
      <c r="AI18" s="78">
        <v>81</v>
      </c>
      <c r="AJ18" s="65">
        <f t="shared" si="6"/>
        <v>0.346750518394083</v>
      </c>
      <c r="AK18" s="111">
        <f t="shared" ref="AK18:AK25" si="7">+AJ18*100</f>
        <v>34.675051839408297</v>
      </c>
      <c r="AL18"/>
    </row>
    <row r="19" spans="2:38" ht="15" x14ac:dyDescent="0.25">
      <c r="B19" s="73">
        <v>6</v>
      </c>
      <c r="C19" s="74"/>
      <c r="D19" s="74"/>
      <c r="E19" s="133">
        <f t="shared" si="5"/>
        <v>0</v>
      </c>
      <c r="G19" s="76">
        <v>639</v>
      </c>
      <c r="H19" s="147" t="s">
        <v>95</v>
      </c>
      <c r="I19" s="148"/>
      <c r="J19" s="148"/>
      <c r="K19" s="149"/>
      <c r="L19" s="79"/>
      <c r="M19" s="79"/>
      <c r="N19" s="79"/>
      <c r="O19" s="79"/>
      <c r="AD19" s="140">
        <v>4</v>
      </c>
      <c r="AE19" s="66"/>
      <c r="AF19" s="66"/>
      <c r="AG19" s="66"/>
      <c r="AH19" s="66"/>
      <c r="AI19" s="78">
        <v>70</v>
      </c>
      <c r="AJ19" s="65">
        <f t="shared" si="6"/>
        <v>0.299660941822047</v>
      </c>
      <c r="AK19" s="111">
        <f t="shared" si="7"/>
        <v>29.966094182204699</v>
      </c>
      <c r="AL19"/>
    </row>
    <row r="20" spans="2:38" ht="15" x14ac:dyDescent="0.25">
      <c r="B20" s="73">
        <v>7</v>
      </c>
      <c r="C20" s="74"/>
      <c r="D20" s="74"/>
      <c r="E20" s="134">
        <f t="shared" si="5"/>
        <v>0</v>
      </c>
      <c r="G20" s="76">
        <v>640</v>
      </c>
      <c r="H20" s="147" t="s">
        <v>40</v>
      </c>
      <c r="I20" s="148"/>
      <c r="J20" s="148"/>
      <c r="K20" s="149"/>
      <c r="L20" s="79"/>
      <c r="M20" s="79"/>
      <c r="N20" s="79"/>
      <c r="O20" s="79"/>
      <c r="AD20" s="140">
        <v>2</v>
      </c>
      <c r="AE20" s="66"/>
      <c r="AF20" s="66"/>
      <c r="AG20" s="66"/>
      <c r="AH20" s="66"/>
      <c r="AI20" s="78">
        <v>59</v>
      </c>
      <c r="AJ20" s="65">
        <f t="shared" si="6"/>
        <v>0.252571365250011</v>
      </c>
      <c r="AK20" s="111">
        <f t="shared" si="7"/>
        <v>25.257136525001101</v>
      </c>
      <c r="AL20"/>
    </row>
    <row r="21" spans="2:38" ht="15" x14ac:dyDescent="0.25">
      <c r="B21" s="73">
        <v>8</v>
      </c>
      <c r="C21" s="74"/>
      <c r="D21" s="74"/>
      <c r="E21" s="134"/>
      <c r="G21" s="76">
        <v>641</v>
      </c>
      <c r="H21" s="147" t="s">
        <v>41</v>
      </c>
      <c r="I21" s="148"/>
      <c r="J21" s="148"/>
      <c r="K21" s="149"/>
      <c r="L21" s="79"/>
      <c r="M21" s="79"/>
      <c r="N21" s="79"/>
      <c r="O21" s="79"/>
      <c r="AD21" s="140">
        <v>1</v>
      </c>
      <c r="AE21" s="66"/>
      <c r="AF21" s="66"/>
      <c r="AG21" s="66"/>
      <c r="AH21" s="66"/>
      <c r="AI21" s="78">
        <v>46</v>
      </c>
      <c r="AJ21" s="65">
        <f t="shared" si="6"/>
        <v>0.19692004748305947</v>
      </c>
      <c r="AK21" s="111">
        <f t="shared" si="7"/>
        <v>19.692004748305948</v>
      </c>
      <c r="AL21"/>
    </row>
    <row r="22" spans="2:38" ht="15" x14ac:dyDescent="0.25">
      <c r="B22" s="73">
        <v>9</v>
      </c>
      <c r="C22" s="74"/>
      <c r="D22" s="74"/>
      <c r="E22" s="134"/>
      <c r="G22" s="76">
        <v>642</v>
      </c>
      <c r="H22" s="147" t="s">
        <v>42</v>
      </c>
      <c r="I22" s="148"/>
      <c r="J22" s="148"/>
      <c r="K22" s="149"/>
      <c r="L22" s="79"/>
      <c r="M22" s="79"/>
      <c r="N22" s="79"/>
      <c r="O22" s="79"/>
      <c r="AD22" s="140">
        <v>0.5</v>
      </c>
      <c r="AE22" s="66"/>
      <c r="AF22" s="66"/>
      <c r="AG22" s="66"/>
      <c r="AH22" s="66"/>
      <c r="AI22" s="78">
        <v>26</v>
      </c>
      <c r="AJ22" s="65">
        <f t="shared" si="6"/>
        <v>0.11130263553390317</v>
      </c>
      <c r="AK22" s="111">
        <f t="shared" si="7"/>
        <v>11.130263553390316</v>
      </c>
      <c r="AL22"/>
    </row>
    <row r="23" spans="2:38" ht="15" x14ac:dyDescent="0.25">
      <c r="B23" s="73">
        <v>10</v>
      </c>
      <c r="C23" s="74"/>
      <c r="D23" s="74"/>
      <c r="E23" s="134"/>
      <c r="G23" s="76">
        <v>643</v>
      </c>
      <c r="H23" s="147" t="s">
        <v>96</v>
      </c>
      <c r="I23" s="148"/>
      <c r="J23" s="148"/>
      <c r="K23" s="149"/>
      <c r="L23" s="79"/>
      <c r="M23" s="79"/>
      <c r="N23" s="79"/>
      <c r="O23" s="79"/>
      <c r="AD23" s="142">
        <v>0.25</v>
      </c>
      <c r="AE23" s="66"/>
      <c r="AF23" s="66"/>
      <c r="AG23" s="66"/>
      <c r="AH23" s="66"/>
      <c r="AI23" s="78">
        <v>7</v>
      </c>
      <c r="AJ23" s="65">
        <f t="shared" si="6"/>
        <v>2.9966094182204701E-2</v>
      </c>
      <c r="AK23" s="111">
        <f t="shared" si="7"/>
        <v>2.9966094182204701</v>
      </c>
      <c r="AL23"/>
    </row>
    <row r="24" spans="2:38" ht="15" x14ac:dyDescent="0.25">
      <c r="B24" s="73" t="s">
        <v>97</v>
      </c>
      <c r="C24" s="74">
        <f>SUM(C14:C23)</f>
        <v>8.5</v>
      </c>
      <c r="D24" s="74">
        <f>SUM(D14:D23)</f>
        <v>442.40000000000003</v>
      </c>
      <c r="E24" s="133">
        <f>SUM(E14:E18)</f>
        <v>433.9</v>
      </c>
      <c r="G24" s="76">
        <v>644</v>
      </c>
      <c r="H24" s="147" t="s">
        <v>98</v>
      </c>
      <c r="I24" s="148"/>
      <c r="J24" s="148"/>
      <c r="K24" s="149"/>
      <c r="L24" s="79"/>
      <c r="M24" s="79"/>
      <c r="N24" s="79"/>
      <c r="O24" s="79"/>
      <c r="AD24" s="142">
        <v>0.125</v>
      </c>
      <c r="AE24" s="66"/>
      <c r="AF24" s="66"/>
      <c r="AG24" s="66"/>
      <c r="AH24" s="66"/>
      <c r="AI24" s="78">
        <v>2</v>
      </c>
      <c r="AJ24" s="143">
        <f t="shared" si="6"/>
        <v>8.5617411949156282E-3</v>
      </c>
      <c r="AK24" s="111">
        <f t="shared" si="7"/>
        <v>0.85617411949156286</v>
      </c>
      <c r="AL24"/>
    </row>
    <row r="25" spans="2:38" ht="15" x14ac:dyDescent="0.25">
      <c r="B25" s="17"/>
      <c r="C25" s="8"/>
      <c r="D25" s="21" t="s">
        <v>99</v>
      </c>
      <c r="E25" s="80">
        <v>417.4</v>
      </c>
      <c r="G25" s="76">
        <v>656</v>
      </c>
      <c r="H25" s="147" t="s">
        <v>100</v>
      </c>
      <c r="I25" s="148"/>
      <c r="J25" s="148"/>
      <c r="K25" s="149"/>
      <c r="L25" s="8"/>
      <c r="M25" s="8"/>
      <c r="N25" s="8"/>
      <c r="O25" s="8"/>
      <c r="AD25" s="142">
        <v>6.25E-2</v>
      </c>
      <c r="AE25" s="64"/>
      <c r="AF25" s="64"/>
      <c r="AG25" s="64"/>
      <c r="AH25" s="64"/>
      <c r="AI25" s="64">
        <v>1</v>
      </c>
      <c r="AJ25" s="143">
        <f t="shared" si="6"/>
        <v>4.2808705974578141E-3</v>
      </c>
      <c r="AK25" s="111">
        <f t="shared" si="7"/>
        <v>0.42808705974578143</v>
      </c>
      <c r="AL25"/>
    </row>
    <row r="26" spans="2:38" ht="18" x14ac:dyDescent="0.25">
      <c r="B26" s="81" t="s">
        <v>101</v>
      </c>
      <c r="C26" s="82"/>
      <c r="D26" s="82"/>
      <c r="E26" s="82"/>
      <c r="F26" s="82"/>
      <c r="G26" s="82"/>
      <c r="H26" s="83"/>
      <c r="I26" s="83"/>
      <c r="J26" s="84"/>
      <c r="K26" s="85" t="s">
        <v>102</v>
      </c>
      <c r="L26" s="8"/>
      <c r="M26" s="8"/>
      <c r="N26" s="8"/>
      <c r="O26" s="8"/>
      <c r="AD26" s="1" t="s">
        <v>160</v>
      </c>
      <c r="AE26" s="57">
        <f>+H40-K36</f>
        <v>191.3</v>
      </c>
      <c r="AF26" s="144">
        <f>(AH3/H42)*AE26</f>
        <v>168.56622585230772</v>
      </c>
      <c r="AG26" s="57"/>
      <c r="AL26"/>
    </row>
    <row r="27" spans="2:38" ht="18" x14ac:dyDescent="0.25">
      <c r="B27" s="86" t="s">
        <v>79</v>
      </c>
      <c r="C27" s="86" t="s">
        <v>80</v>
      </c>
      <c r="D27" s="86" t="s">
        <v>81</v>
      </c>
      <c r="E27" s="86" t="s">
        <v>82</v>
      </c>
      <c r="F27" s="86" t="s">
        <v>103</v>
      </c>
      <c r="G27" s="86" t="s">
        <v>104</v>
      </c>
      <c r="H27" s="86" t="s">
        <v>105</v>
      </c>
      <c r="I27" s="86" t="s">
        <v>106</v>
      </c>
      <c r="J27" s="87"/>
      <c r="K27" s="77"/>
      <c r="AE27" s="1">
        <f>SUM(AE8:AE26)</f>
        <v>416.5</v>
      </c>
      <c r="AF27" s="1">
        <f>SUM(AF8:AF26)</f>
        <v>393.76622585230768</v>
      </c>
      <c r="AG27" s="57"/>
      <c r="AL27"/>
    </row>
    <row r="28" spans="2:38" ht="85.5" x14ac:dyDescent="0.25">
      <c r="B28" s="63" t="s">
        <v>107</v>
      </c>
      <c r="C28" s="88" t="s">
        <v>108</v>
      </c>
      <c r="D28" s="63" t="s">
        <v>109</v>
      </c>
      <c r="E28" s="63" t="s">
        <v>110</v>
      </c>
      <c r="F28" s="63" t="s">
        <v>111</v>
      </c>
      <c r="G28" s="63" t="s">
        <v>112</v>
      </c>
      <c r="H28" s="63" t="s">
        <v>113</v>
      </c>
      <c r="I28" s="63" t="s">
        <v>114</v>
      </c>
      <c r="J28" s="89"/>
      <c r="K28" s="89"/>
      <c r="N28" s="90"/>
      <c r="AL28"/>
    </row>
    <row r="29" spans="2:38" ht="22.5" x14ac:dyDescent="0.25">
      <c r="B29" s="64"/>
      <c r="C29" s="72"/>
      <c r="D29" s="63"/>
      <c r="E29" s="63"/>
      <c r="F29" s="63"/>
      <c r="G29" s="72" t="s">
        <v>115</v>
      </c>
      <c r="H29" s="72" t="s">
        <v>116</v>
      </c>
      <c r="I29" s="72" t="s">
        <v>117</v>
      </c>
      <c r="J29" s="90"/>
      <c r="K29" s="90"/>
      <c r="R29" s="91"/>
      <c r="AD29" s="129" t="s">
        <v>139</v>
      </c>
      <c r="AE29" s="129" t="s">
        <v>26</v>
      </c>
      <c r="AL29"/>
    </row>
    <row r="30" spans="2:38" ht="15" x14ac:dyDescent="0.25">
      <c r="B30" s="76" t="s">
        <v>118</v>
      </c>
      <c r="C30" s="72"/>
      <c r="D30" s="63"/>
      <c r="E30" s="63"/>
      <c r="F30" s="63"/>
      <c r="G30" s="63"/>
      <c r="H30" s="135">
        <f>F30-G30</f>
        <v>0</v>
      </c>
      <c r="I30" s="135">
        <f>H30</f>
        <v>0</v>
      </c>
      <c r="J30" s="92"/>
      <c r="K30" s="92"/>
      <c r="AD30" s="129">
        <v>16</v>
      </c>
      <c r="AE30" s="130">
        <f ca="1">10^(FORECAST(AD30,LOG(OFFSET(AD$8:AD$25,MATCH(AD30,AK$8:AK$25,-1)-1,0,2)),OFFSET(AK$8:AK$25,MATCH(AD30,AK$8:AK$25,-1)-1,0,2)))</f>
        <v>0.74163372164726371</v>
      </c>
      <c r="AL30"/>
    </row>
    <row r="31" spans="2:38" ht="15" x14ac:dyDescent="0.25">
      <c r="B31" s="76" t="s">
        <v>119</v>
      </c>
      <c r="C31" s="74"/>
      <c r="D31" s="63"/>
      <c r="E31" s="63"/>
      <c r="F31" s="63"/>
      <c r="G31" s="63"/>
      <c r="H31" s="135">
        <f t="shared" ref="H31:H32" si="8">F31-G31</f>
        <v>0</v>
      </c>
      <c r="I31" s="136">
        <f>H31+I30</f>
        <v>0</v>
      </c>
      <c r="J31" s="92"/>
      <c r="K31" s="92"/>
      <c r="AD31" s="129">
        <v>50</v>
      </c>
      <c r="AE31" s="130">
        <f ca="1">10^(FORECAST(AD31,LOG(OFFSET(AD$8:AD$25,MATCH(AD31,AK$8:AK$25,-1)-1,0,2)),OFFSET(AK$8:AK$25,MATCH(AD31,AK$8:AK$25,-1)-1,0,2)))</f>
        <v>19.540008421382797</v>
      </c>
      <c r="AL31"/>
    </row>
    <row r="32" spans="2:38" ht="15" x14ac:dyDescent="0.25">
      <c r="B32" s="76" t="s">
        <v>120</v>
      </c>
      <c r="C32" s="74"/>
      <c r="D32" s="63"/>
      <c r="E32" s="63"/>
      <c r="F32" s="63"/>
      <c r="G32" s="63"/>
      <c r="H32" s="135">
        <f t="shared" si="8"/>
        <v>0</v>
      </c>
      <c r="I32" s="136">
        <f t="shared" ref="I32:I33" si="9">H32+I31</f>
        <v>0</v>
      </c>
      <c r="J32" s="92"/>
      <c r="K32" s="92"/>
      <c r="AD32" s="129">
        <v>84</v>
      </c>
      <c r="AE32" s="130">
        <f ca="1">10^(FORECAST(AD32,LOG(OFFSET(AD$8:AD$25,MATCH(AD32,AK$8:AK$25,-1)-1,0,2)),OFFSET(AK$8:AK$25,MATCH(AD32,AK$8:AK$25,-1)-1,0,2)))</f>
        <v>64.705680260140838</v>
      </c>
      <c r="AL32"/>
    </row>
    <row r="33" spans="2:38" ht="15" x14ac:dyDescent="0.25">
      <c r="B33" s="76" t="s">
        <v>121</v>
      </c>
      <c r="C33" s="74">
        <v>1.7</v>
      </c>
      <c r="D33" s="93">
        <v>30.5</v>
      </c>
      <c r="E33" s="93"/>
      <c r="F33" s="93">
        <v>30.5</v>
      </c>
      <c r="G33" s="74">
        <v>1.7</v>
      </c>
      <c r="H33" s="136">
        <f>F33-G33</f>
        <v>28.8</v>
      </c>
      <c r="I33" s="136">
        <f t="shared" si="9"/>
        <v>28.8</v>
      </c>
      <c r="J33" s="92"/>
      <c r="K33" s="92"/>
      <c r="AD33" s="129">
        <v>90</v>
      </c>
      <c r="AE33" s="130">
        <f ca="1">10^(FORECAST(AD33,LOG(OFFSET(AD$8:AD$25,MATCH(AD33,AK$8:AK$25,-1)-1,0,2)),OFFSET(AK$8:AK$25,MATCH(AD33,AK$8:AK$25,-1)-1,0,2)))</f>
        <v>86.362082852512557</v>
      </c>
      <c r="AG33"/>
      <c r="AH33"/>
      <c r="AI33"/>
      <c r="AJ33"/>
      <c r="AK33"/>
      <c r="AL33"/>
    </row>
    <row r="34" spans="2:38" ht="15" x14ac:dyDescent="0.25">
      <c r="B34" s="94" t="s">
        <v>122</v>
      </c>
      <c r="C34" s="74">
        <v>1.7</v>
      </c>
      <c r="D34" s="74">
        <v>8.9</v>
      </c>
      <c r="E34" s="74"/>
      <c r="F34" s="74">
        <v>8.9</v>
      </c>
      <c r="G34" s="74">
        <v>1.7</v>
      </c>
      <c r="H34" s="136">
        <f t="shared" ref="H34:H40" si="10">F34-G34</f>
        <v>7.2</v>
      </c>
      <c r="I34" s="136">
        <f>I33+H34</f>
        <v>36</v>
      </c>
      <c r="J34" s="92"/>
      <c r="K34" s="92"/>
      <c r="AD34" s="132"/>
      <c r="AE34" s="132"/>
      <c r="AF34"/>
      <c r="AG34"/>
      <c r="AH34"/>
      <c r="AI34"/>
      <c r="AJ34"/>
      <c r="AK34"/>
      <c r="AL34"/>
    </row>
    <row r="35" spans="2:38" ht="15" x14ac:dyDescent="0.25">
      <c r="B35" s="94" t="s">
        <v>123</v>
      </c>
      <c r="C35" s="74">
        <v>1.7</v>
      </c>
      <c r="D35" s="74">
        <v>29.6</v>
      </c>
      <c r="E35" s="74"/>
      <c r="F35" s="74">
        <v>29.6</v>
      </c>
      <c r="G35" s="74">
        <v>1.7</v>
      </c>
      <c r="H35" s="136">
        <f t="shared" si="10"/>
        <v>27.900000000000002</v>
      </c>
      <c r="I35" s="136">
        <f t="shared" ref="I35:I40" si="11">I34+H35</f>
        <v>63.900000000000006</v>
      </c>
      <c r="J35" s="8" t="s">
        <v>124</v>
      </c>
      <c r="K35" s="8"/>
      <c r="AD35" s="129" t="s">
        <v>140</v>
      </c>
      <c r="AE35" s="130">
        <f ca="1">0.5*(AE32/AE31+AE31/AE30)</f>
        <v>14.829347497787765</v>
      </c>
      <c r="AF35"/>
      <c r="AG35"/>
      <c r="AH35"/>
      <c r="AI35"/>
      <c r="AJ35"/>
      <c r="AK35"/>
      <c r="AL35"/>
    </row>
    <row r="36" spans="2:38" ht="15" x14ac:dyDescent="0.25">
      <c r="B36" s="74">
        <v>45</v>
      </c>
      <c r="C36" s="74">
        <v>1.7</v>
      </c>
      <c r="D36" s="74">
        <v>25.6</v>
      </c>
      <c r="E36" s="74"/>
      <c r="F36" s="74">
        <v>25.6</v>
      </c>
      <c r="G36" s="74">
        <v>1.7</v>
      </c>
      <c r="H36" s="136">
        <f t="shared" si="10"/>
        <v>23.900000000000002</v>
      </c>
      <c r="I36" s="136">
        <f t="shared" si="11"/>
        <v>87.800000000000011</v>
      </c>
      <c r="J36" s="17" t="s">
        <v>125</v>
      </c>
      <c r="K36" s="8">
        <v>16.5</v>
      </c>
      <c r="AD36" s="132" t="s">
        <v>145</v>
      </c>
      <c r="AE36" s="130">
        <f>100-AK20</f>
        <v>74.742863474998899</v>
      </c>
      <c r="AF36"/>
      <c r="AG36"/>
      <c r="AH36"/>
      <c r="AI36"/>
      <c r="AJ36"/>
      <c r="AK36"/>
      <c r="AL36"/>
    </row>
    <row r="37" spans="2:38" ht="15" x14ac:dyDescent="0.25">
      <c r="B37" s="74">
        <v>32</v>
      </c>
      <c r="C37" s="74">
        <v>1.7</v>
      </c>
      <c r="D37" s="74">
        <v>41.5</v>
      </c>
      <c r="E37" s="74"/>
      <c r="F37" s="74">
        <v>41.5</v>
      </c>
      <c r="G37" s="74">
        <v>1.7</v>
      </c>
      <c r="H37" s="136">
        <f t="shared" si="10"/>
        <v>39.799999999999997</v>
      </c>
      <c r="I37" s="136">
        <f t="shared" si="11"/>
        <v>127.60000000000001</v>
      </c>
      <c r="J37" s="8"/>
      <c r="K37" s="8"/>
      <c r="AD37" s="132" t="s">
        <v>141</v>
      </c>
      <c r="AE37" s="130">
        <f>AK20-AK25</f>
        <v>24.82904946525532</v>
      </c>
      <c r="AF37"/>
      <c r="AG37"/>
      <c r="AH37"/>
      <c r="AI37"/>
      <c r="AJ37"/>
      <c r="AK37"/>
      <c r="AL37"/>
    </row>
    <row r="38" spans="2:38" ht="15" x14ac:dyDescent="0.25">
      <c r="B38" s="74">
        <v>22.5</v>
      </c>
      <c r="C38" s="74">
        <v>1.7</v>
      </c>
      <c r="D38" s="74">
        <v>51</v>
      </c>
      <c r="E38" s="74"/>
      <c r="F38" s="74">
        <v>51</v>
      </c>
      <c r="G38" s="74">
        <v>1.7</v>
      </c>
      <c r="H38" s="136">
        <f t="shared" si="10"/>
        <v>49.3</v>
      </c>
      <c r="I38" s="136">
        <f t="shared" si="11"/>
        <v>176.9</v>
      </c>
      <c r="J38" s="8"/>
      <c r="K38" s="8"/>
      <c r="AD38" s="129" t="s">
        <v>146</v>
      </c>
      <c r="AE38" s="130">
        <f>AK25</f>
        <v>0.42808705974578143</v>
      </c>
      <c r="AF38"/>
      <c r="AG38"/>
      <c r="AH38"/>
      <c r="AI38"/>
      <c r="AJ38"/>
      <c r="AK38"/>
      <c r="AL38"/>
    </row>
    <row r="39" spans="2:38" ht="15" x14ac:dyDescent="0.25">
      <c r="B39" s="74">
        <v>16</v>
      </c>
      <c r="C39" s="74">
        <v>1.7</v>
      </c>
      <c r="D39" s="74">
        <v>50</v>
      </c>
      <c r="E39" s="74"/>
      <c r="F39" s="74">
        <v>50</v>
      </c>
      <c r="G39" s="74">
        <v>1.7</v>
      </c>
      <c r="H39" s="136">
        <f t="shared" si="10"/>
        <v>48.3</v>
      </c>
      <c r="I39" s="136">
        <f t="shared" si="11"/>
        <v>225.2</v>
      </c>
      <c r="J39" s="8"/>
      <c r="K39" s="8"/>
      <c r="AD39"/>
      <c r="AE39"/>
      <c r="AF39"/>
      <c r="AG39"/>
      <c r="AH39"/>
      <c r="AI39"/>
      <c r="AJ39"/>
      <c r="AK39"/>
      <c r="AL39"/>
    </row>
    <row r="40" spans="2:38" ht="15" x14ac:dyDescent="0.25">
      <c r="B40" s="76" t="s">
        <v>126</v>
      </c>
      <c r="C40" s="74">
        <v>67</v>
      </c>
      <c r="D40" s="74">
        <v>274.8</v>
      </c>
      <c r="E40" s="74" t="s">
        <v>127</v>
      </c>
      <c r="F40" s="74">
        <v>274.8</v>
      </c>
      <c r="G40" s="74">
        <v>67</v>
      </c>
      <c r="H40" s="136">
        <f t="shared" si="10"/>
        <v>207.8</v>
      </c>
      <c r="I40" s="136">
        <f t="shared" si="11"/>
        <v>433</v>
      </c>
      <c r="J40" s="95"/>
      <c r="K40" s="8"/>
      <c r="AD40"/>
      <c r="AE40"/>
      <c r="AF40"/>
      <c r="AG40"/>
      <c r="AH40"/>
      <c r="AI40"/>
      <c r="AJ40"/>
      <c r="AK40"/>
      <c r="AL40"/>
    </row>
    <row r="41" spans="2:38" ht="15" x14ac:dyDescent="0.25">
      <c r="B41" s="76" t="s">
        <v>97</v>
      </c>
      <c r="C41" s="74">
        <f>SUM(C33:C40)</f>
        <v>78.900000000000006</v>
      </c>
      <c r="D41" s="74">
        <f>SUM(D33:D40)</f>
        <v>511.9</v>
      </c>
      <c r="E41" s="64"/>
      <c r="F41" s="74">
        <f>SUM(F33:F40)</f>
        <v>511.9</v>
      </c>
      <c r="G41" s="74">
        <f>SUM(G33:G40)</f>
        <v>78.900000000000006</v>
      </c>
      <c r="H41" s="133">
        <f>F41-G41</f>
        <v>433</v>
      </c>
      <c r="I41" s="133">
        <f>I40</f>
        <v>433</v>
      </c>
      <c r="J41" s="8"/>
      <c r="K41" s="8"/>
      <c r="AD41"/>
      <c r="AE41"/>
      <c r="AF41"/>
      <c r="AG41"/>
      <c r="AH41"/>
      <c r="AI41"/>
      <c r="AJ41"/>
      <c r="AK41"/>
      <c r="AL41"/>
    </row>
    <row r="42" spans="2:38" ht="29.25" x14ac:dyDescent="0.25">
      <c r="B42" s="96" t="s">
        <v>128</v>
      </c>
      <c r="C42" s="97">
        <v>1.7</v>
      </c>
      <c r="D42" s="97">
        <v>21.2</v>
      </c>
      <c r="E42" s="98"/>
      <c r="F42" s="99"/>
      <c r="G42" s="100"/>
      <c r="H42" s="137">
        <f>D42-C42</f>
        <v>19.5</v>
      </c>
      <c r="I42" s="138"/>
      <c r="J42" s="8"/>
      <c r="K42" s="8"/>
      <c r="AD42"/>
      <c r="AE42"/>
      <c r="AF42"/>
      <c r="AG42"/>
      <c r="AH42"/>
      <c r="AI42"/>
      <c r="AJ42"/>
      <c r="AK42"/>
      <c r="AL42"/>
    </row>
    <row r="43" spans="2:38" ht="15" x14ac:dyDescent="0.25">
      <c r="B43" s="101" t="s">
        <v>129</v>
      </c>
      <c r="J43" s="8"/>
      <c r="K43" s="8"/>
      <c r="AD43"/>
      <c r="AE43"/>
      <c r="AF43"/>
      <c r="AG43"/>
      <c r="AH43"/>
      <c r="AI43"/>
      <c r="AJ43"/>
      <c r="AK43"/>
      <c r="AL43"/>
    </row>
    <row r="44" spans="2:38" ht="15" x14ac:dyDescent="0.25">
      <c r="B44" s="101"/>
      <c r="I44" s="102"/>
      <c r="J44" s="8"/>
      <c r="K44" s="8"/>
      <c r="AD44"/>
      <c r="AE44"/>
      <c r="AF44"/>
      <c r="AG44"/>
      <c r="AH44"/>
      <c r="AI44"/>
      <c r="AJ44"/>
      <c r="AK44"/>
      <c r="AL44"/>
    </row>
    <row r="45" spans="2:38" ht="15.75" x14ac:dyDescent="0.25">
      <c r="B45" s="150" t="s">
        <v>130</v>
      </c>
      <c r="C45" s="150"/>
      <c r="D45" s="150"/>
      <c r="E45" s="102" t="s">
        <v>144</v>
      </c>
      <c r="F45" s="75"/>
      <c r="G45" s="103" t="s">
        <v>131</v>
      </c>
      <c r="H45" s="104">
        <f>+(E24-H41)/E24</f>
        <v>2.0742106476146055E-3</v>
      </c>
      <c r="J45" s="8"/>
      <c r="K45" s="8"/>
      <c r="R45" s="105"/>
      <c r="AD45"/>
      <c r="AE45"/>
      <c r="AF45"/>
      <c r="AG45"/>
      <c r="AH45"/>
      <c r="AI45"/>
      <c r="AJ45"/>
      <c r="AK45"/>
      <c r="AL45"/>
    </row>
    <row r="46" spans="2:38" ht="15" x14ac:dyDescent="0.25">
      <c r="B46" s="151" t="s">
        <v>132</v>
      </c>
      <c r="C46" s="151"/>
      <c r="D46" s="151"/>
      <c r="E46" s="103">
        <v>433.9</v>
      </c>
      <c r="I46" s="106"/>
      <c r="J46" s="8"/>
      <c r="K46" s="8"/>
      <c r="AD46"/>
      <c r="AE46"/>
      <c r="AF46"/>
      <c r="AG46"/>
      <c r="AH46"/>
      <c r="AI46"/>
      <c r="AJ46"/>
      <c r="AK46"/>
      <c r="AL46"/>
    </row>
    <row r="47" spans="2:38" ht="15" x14ac:dyDescent="0.25">
      <c r="B47" s="146" t="s">
        <v>133</v>
      </c>
      <c r="C47" s="146"/>
      <c r="D47" s="146"/>
      <c r="E47" s="146"/>
      <c r="F47" s="146"/>
      <c r="G47" s="146"/>
      <c r="H47" s="146"/>
      <c r="I47" s="146"/>
      <c r="J47" s="146"/>
      <c r="K47" s="107"/>
      <c r="AD47"/>
      <c r="AE47"/>
      <c r="AF47"/>
      <c r="AG47"/>
      <c r="AH47"/>
      <c r="AI47"/>
      <c r="AJ47"/>
      <c r="AK47"/>
      <c r="AL47"/>
    </row>
    <row r="48" spans="2:38" ht="15" x14ac:dyDescent="0.25">
      <c r="B48" s="146"/>
      <c r="C48" s="146"/>
      <c r="D48" s="146"/>
      <c r="E48" s="146"/>
      <c r="F48" s="146"/>
      <c r="G48" s="146"/>
      <c r="H48" s="146"/>
      <c r="I48" s="146"/>
      <c r="J48" s="146"/>
      <c r="K48" s="107"/>
      <c r="AD48"/>
      <c r="AE48"/>
      <c r="AF48"/>
      <c r="AG48"/>
      <c r="AH48"/>
      <c r="AI48"/>
      <c r="AJ48"/>
      <c r="AK48"/>
      <c r="AL48"/>
    </row>
    <row r="49" spans="2:38" ht="15" x14ac:dyDescent="0.25">
      <c r="B49" s="6" t="s">
        <v>134</v>
      </c>
      <c r="C49" s="6" t="s">
        <v>50</v>
      </c>
      <c r="D49" s="106"/>
      <c r="E49" s="106"/>
      <c r="F49" s="1" t="s">
        <v>135</v>
      </c>
      <c r="G49" s="108"/>
      <c r="H49" s="109">
        <v>657</v>
      </c>
      <c r="J49" s="48" t="s">
        <v>136</v>
      </c>
      <c r="K49" s="48" t="s">
        <v>137</v>
      </c>
      <c r="AD49"/>
      <c r="AE49"/>
      <c r="AF49"/>
      <c r="AG49"/>
      <c r="AH49"/>
      <c r="AI49"/>
      <c r="AJ49"/>
      <c r="AK49"/>
      <c r="AL49"/>
    </row>
    <row r="50" spans="2:38" ht="15" x14ac:dyDescent="0.25">
      <c r="K50" s="79"/>
      <c r="AD50"/>
      <c r="AE50"/>
      <c r="AF50"/>
      <c r="AG50"/>
      <c r="AH50"/>
      <c r="AI50"/>
      <c r="AJ50"/>
      <c r="AK50"/>
      <c r="AL50"/>
    </row>
    <row r="51" spans="2:38" ht="15" x14ac:dyDescent="0.25">
      <c r="K51" s="79"/>
      <c r="AD51"/>
      <c r="AE51"/>
      <c r="AF51"/>
      <c r="AG51"/>
      <c r="AH51"/>
      <c r="AI51"/>
      <c r="AJ51"/>
      <c r="AK51"/>
      <c r="AL51"/>
    </row>
    <row r="52" spans="2:38" ht="15" x14ac:dyDescent="0.25">
      <c r="K52" s="79"/>
      <c r="AD52"/>
      <c r="AE52"/>
      <c r="AF52"/>
      <c r="AG52"/>
      <c r="AH52"/>
      <c r="AI52"/>
      <c r="AJ52"/>
      <c r="AK52"/>
      <c r="AL52"/>
    </row>
    <row r="53" spans="2:38" ht="15" x14ac:dyDescent="0.25">
      <c r="K53" s="79"/>
      <c r="AD53"/>
      <c r="AE53"/>
      <c r="AF53"/>
      <c r="AG53"/>
      <c r="AH53"/>
      <c r="AI53"/>
      <c r="AJ53"/>
      <c r="AK53"/>
      <c r="AL53"/>
    </row>
    <row r="54" spans="2:38" ht="15" x14ac:dyDescent="0.25">
      <c r="B54" s="8"/>
      <c r="C54" s="8"/>
      <c r="AD54"/>
      <c r="AE54"/>
      <c r="AF54"/>
      <c r="AG54"/>
      <c r="AH54"/>
      <c r="AI54"/>
      <c r="AJ54"/>
      <c r="AK54"/>
      <c r="AL54"/>
    </row>
    <row r="55" spans="2:38" ht="15" x14ac:dyDescent="0.25">
      <c r="AD55"/>
      <c r="AE55"/>
      <c r="AF55"/>
      <c r="AG55"/>
      <c r="AH55"/>
      <c r="AI55"/>
      <c r="AJ55"/>
      <c r="AK55"/>
      <c r="AL55"/>
    </row>
  </sheetData>
  <mergeCells count="18">
    <mergeCell ref="H22:K22"/>
    <mergeCell ref="AD1:AK1"/>
    <mergeCell ref="B2:K2"/>
    <mergeCell ref="AE6:AH6"/>
    <mergeCell ref="B10:E10"/>
    <mergeCell ref="G15:J15"/>
    <mergeCell ref="H16:K16"/>
    <mergeCell ref="H17:K17"/>
    <mergeCell ref="H18:K18"/>
    <mergeCell ref="H19:K19"/>
    <mergeCell ref="H20:K20"/>
    <mergeCell ref="H21:K21"/>
    <mergeCell ref="B47:J48"/>
    <mergeCell ref="H23:K23"/>
    <mergeCell ref="H24:K24"/>
    <mergeCell ref="H25:K25"/>
    <mergeCell ref="B45:D45"/>
    <mergeCell ref="B46:D4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99"/>
  <sheetViews>
    <sheetView workbookViewId="0">
      <selection activeCell="F44" sqref="F44"/>
    </sheetView>
  </sheetViews>
  <sheetFormatPr defaultColWidth="8.85546875" defaultRowHeight="14.25" x14ac:dyDescent="0.2"/>
  <cols>
    <col min="1" max="1" width="8.85546875" style="1"/>
    <col min="2" max="2" width="6.7109375" style="1" customWidth="1"/>
    <col min="3" max="6" width="9.7109375" style="1" customWidth="1"/>
    <col min="7" max="7" width="6.7109375" style="1" customWidth="1"/>
    <col min="8" max="8" width="6.7109375" style="7" customWidth="1"/>
    <col min="9" max="9" width="6.7109375" style="8" customWidth="1"/>
    <col min="10" max="13" width="9.7109375" style="8" customWidth="1"/>
    <col min="14" max="16" width="6.7109375" style="8" customWidth="1"/>
    <col min="17" max="20" width="9.7109375" style="8" customWidth="1"/>
    <col min="21" max="22" width="6.7109375" style="1" customWidth="1"/>
    <col min="23" max="23" width="8.28515625" style="1" customWidth="1"/>
    <col min="24" max="24" width="16.7109375" style="1" customWidth="1"/>
    <col min="25" max="25" width="14.85546875" style="1" bestFit="1" customWidth="1"/>
    <col min="26" max="26" width="15.7109375" style="1" customWidth="1"/>
    <col min="27" max="30" width="15.7109375" style="8" customWidth="1"/>
    <col min="31" max="31" width="11.140625" style="8" customWidth="1"/>
    <col min="32" max="32" width="12.7109375" style="1" customWidth="1"/>
    <col min="33" max="33" width="9.140625" style="1" customWidth="1"/>
    <col min="34" max="16384" width="8.85546875" style="1"/>
  </cols>
  <sheetData>
    <row r="1" spans="2:33" x14ac:dyDescent="0.2">
      <c r="H1" s="2"/>
      <c r="I1" s="1"/>
      <c r="J1" s="1"/>
      <c r="K1" s="1"/>
      <c r="L1" s="1"/>
      <c r="M1" s="1"/>
      <c r="N1" s="1"/>
      <c r="O1" s="1"/>
      <c r="P1" s="1"/>
      <c r="Q1" s="1"/>
      <c r="R1" s="1"/>
      <c r="S1" s="1"/>
      <c r="T1" s="1"/>
      <c r="AA1" s="1"/>
      <c r="AB1" s="1"/>
      <c r="AC1" s="1"/>
      <c r="AD1" s="1"/>
      <c r="AE1" s="1"/>
    </row>
    <row r="2" spans="2:33" ht="23.25" x14ac:dyDescent="0.35">
      <c r="B2" s="152" t="s">
        <v>0</v>
      </c>
      <c r="C2" s="152"/>
      <c r="D2" s="152"/>
      <c r="E2" s="152"/>
      <c r="F2" s="152"/>
      <c r="G2" s="152"/>
      <c r="H2" s="152"/>
      <c r="I2" s="152"/>
      <c r="J2" s="152"/>
      <c r="K2" s="152"/>
      <c r="L2" s="152"/>
      <c r="M2" s="152"/>
      <c r="N2" s="152"/>
      <c r="O2" s="152"/>
      <c r="P2" s="152"/>
      <c r="Q2" s="152"/>
      <c r="R2" s="152"/>
      <c r="S2" s="152"/>
      <c r="T2" s="152"/>
      <c r="U2" s="152"/>
      <c r="V2" s="152"/>
      <c r="X2" s="152" t="s">
        <v>0</v>
      </c>
      <c r="Y2" s="152"/>
      <c r="Z2" s="152"/>
      <c r="AA2" s="152"/>
      <c r="AB2" s="152"/>
      <c r="AC2" s="152"/>
      <c r="AD2" s="152"/>
      <c r="AE2" s="152"/>
      <c r="AF2" s="3"/>
    </row>
    <row r="3" spans="2:33" ht="23.25" x14ac:dyDescent="0.35">
      <c r="B3" s="4"/>
      <c r="C3" s="4"/>
      <c r="D3" s="4"/>
      <c r="E3" s="4"/>
      <c r="F3" s="4"/>
      <c r="G3" s="4"/>
      <c r="H3" s="5"/>
      <c r="I3" s="4"/>
      <c r="J3" s="4"/>
      <c r="K3" s="4"/>
      <c r="L3" s="4"/>
      <c r="M3" s="4"/>
      <c r="N3" s="4"/>
      <c r="O3" s="4"/>
      <c r="P3" s="4"/>
      <c r="Q3" s="4"/>
      <c r="R3" s="4"/>
      <c r="S3" s="4"/>
      <c r="T3" s="4"/>
      <c r="U3" s="3"/>
      <c r="X3" s="4"/>
      <c r="Y3" s="4"/>
      <c r="Z3" s="4"/>
      <c r="AA3" s="4"/>
      <c r="AB3" s="4"/>
      <c r="AC3" s="4"/>
      <c r="AD3" s="4"/>
      <c r="AE3" s="4"/>
      <c r="AF3" s="3"/>
    </row>
    <row r="4" spans="2:33" x14ac:dyDescent="0.2">
      <c r="B4" s="6" t="s">
        <v>1</v>
      </c>
      <c r="C4" s="6"/>
      <c r="D4" s="6" t="s">
        <v>2</v>
      </c>
      <c r="E4" s="6"/>
      <c r="F4" s="6"/>
      <c r="G4" s="6"/>
      <c r="J4" s="1"/>
      <c r="K4" s="6" t="s">
        <v>3</v>
      </c>
      <c r="L4" s="6" t="s">
        <v>4</v>
      </c>
      <c r="M4" s="6"/>
      <c r="N4" s="6"/>
      <c r="O4" s="6"/>
      <c r="P4" s="6"/>
      <c r="Q4" s="6"/>
      <c r="R4" s="6"/>
      <c r="S4" s="6"/>
      <c r="T4" s="6"/>
      <c r="X4" s="8" t="s">
        <v>1</v>
      </c>
      <c r="Y4" s="6" t="s">
        <v>2</v>
      </c>
      <c r="Z4" s="6"/>
      <c r="AA4" s="1" t="s">
        <v>5</v>
      </c>
      <c r="AB4" s="6" t="s">
        <v>4</v>
      </c>
      <c r="AC4" s="6"/>
      <c r="AD4" s="6"/>
    </row>
    <row r="5" spans="2:33" x14ac:dyDescent="0.2">
      <c r="B5" s="9" t="s">
        <v>6</v>
      </c>
      <c r="C5" s="9"/>
      <c r="D5" s="9" t="s">
        <v>7</v>
      </c>
      <c r="E5" s="9"/>
      <c r="F5" s="9"/>
      <c r="G5" s="9"/>
      <c r="J5" s="1"/>
      <c r="K5" s="9" t="s">
        <v>8</v>
      </c>
      <c r="L5" s="9"/>
      <c r="M5" s="9"/>
      <c r="N5" s="9"/>
      <c r="O5" s="9"/>
      <c r="P5" s="9"/>
      <c r="Q5" s="9"/>
      <c r="R5" s="9"/>
      <c r="S5" s="9"/>
      <c r="T5" s="9"/>
      <c r="X5" s="8" t="s">
        <v>6</v>
      </c>
      <c r="Y5" s="9" t="s">
        <v>7</v>
      </c>
      <c r="Z5" s="9"/>
      <c r="AA5" s="1" t="s">
        <v>9</v>
      </c>
      <c r="AB5" s="9"/>
      <c r="AC5" s="9"/>
      <c r="AD5" s="9"/>
    </row>
    <row r="6" spans="2:33" x14ac:dyDescent="0.2">
      <c r="B6" s="9" t="s">
        <v>10</v>
      </c>
      <c r="C6" s="9"/>
      <c r="D6" s="10">
        <v>41489</v>
      </c>
      <c r="E6" s="11">
        <v>0.45833333333333331</v>
      </c>
      <c r="F6" s="9"/>
      <c r="G6" s="9"/>
      <c r="J6" s="1"/>
      <c r="K6" s="9" t="s">
        <v>11</v>
      </c>
      <c r="L6" s="9"/>
      <c r="M6" s="9" t="s">
        <v>12</v>
      </c>
      <c r="N6" s="9"/>
      <c r="O6" s="9"/>
      <c r="P6" s="9"/>
      <c r="Q6" s="9"/>
      <c r="R6" s="9"/>
      <c r="S6" s="9"/>
      <c r="T6" s="9"/>
      <c r="U6" s="9"/>
      <c r="V6" s="9"/>
      <c r="X6" s="8" t="s">
        <v>10</v>
      </c>
      <c r="Y6" s="10">
        <v>41489</v>
      </c>
      <c r="Z6" s="11">
        <v>0.45833333333333331</v>
      </c>
      <c r="AA6" s="8" t="s">
        <v>13</v>
      </c>
      <c r="AB6" s="9" t="s">
        <v>14</v>
      </c>
      <c r="AC6" s="9"/>
      <c r="AD6" s="12"/>
    </row>
    <row r="7" spans="2:33" x14ac:dyDescent="0.2">
      <c r="B7" s="9" t="s">
        <v>13</v>
      </c>
      <c r="C7" s="9"/>
      <c r="D7" s="9"/>
      <c r="E7" s="9" t="s">
        <v>15</v>
      </c>
      <c r="F7" s="9"/>
      <c r="G7" s="9"/>
      <c r="J7" s="13"/>
      <c r="K7" s="14" t="s">
        <v>16</v>
      </c>
      <c r="L7" s="14"/>
      <c r="M7" s="15" t="s">
        <v>17</v>
      </c>
      <c r="N7" s="16"/>
      <c r="O7" s="16"/>
      <c r="P7" s="16"/>
      <c r="Q7" s="9"/>
      <c r="R7" s="9"/>
      <c r="S7" s="9"/>
      <c r="T7" s="9"/>
      <c r="U7" s="9"/>
      <c r="V7" s="9"/>
      <c r="X7" s="8"/>
      <c r="Y7" s="8"/>
      <c r="Z7" s="8"/>
      <c r="AA7" s="8" t="s">
        <v>18</v>
      </c>
      <c r="AB7" s="9" t="s">
        <v>19</v>
      </c>
      <c r="AC7" s="9"/>
      <c r="AD7" s="17"/>
    </row>
    <row r="8" spans="2:33" x14ac:dyDescent="0.2">
      <c r="B8" s="9" t="s">
        <v>18</v>
      </c>
      <c r="C8" s="9"/>
      <c r="D8" s="9" t="s">
        <v>20</v>
      </c>
      <c r="E8" s="9"/>
      <c r="F8" s="9"/>
      <c r="G8" s="9"/>
      <c r="K8" s="9"/>
      <c r="L8" s="9" t="s">
        <v>21</v>
      </c>
      <c r="M8" s="9"/>
      <c r="N8" s="9"/>
      <c r="O8" s="9"/>
      <c r="P8" s="9"/>
      <c r="Q8" s="9"/>
      <c r="R8" s="9"/>
      <c r="S8" s="9"/>
      <c r="T8" s="9"/>
      <c r="U8" s="9"/>
      <c r="V8" s="9"/>
      <c r="X8" s="8" t="s">
        <v>22</v>
      </c>
      <c r="Y8" s="8"/>
      <c r="Z8" s="8"/>
      <c r="AA8" s="18"/>
      <c r="AB8" s="17"/>
      <c r="AC8" s="17"/>
      <c r="AD8" s="17"/>
    </row>
    <row r="9" spans="2:33" x14ac:dyDescent="0.2">
      <c r="B9" s="9" t="s">
        <v>23</v>
      </c>
      <c r="C9" s="9"/>
      <c r="D9" s="9" t="s">
        <v>24</v>
      </c>
      <c r="E9" s="9"/>
      <c r="F9" s="9"/>
      <c r="G9" s="9"/>
      <c r="H9" s="2"/>
      <c r="I9" s="1"/>
      <c r="J9" s="1"/>
      <c r="K9" s="9"/>
      <c r="L9" s="9" t="s">
        <v>25</v>
      </c>
      <c r="M9" s="9"/>
      <c r="N9" s="9"/>
      <c r="O9" s="9"/>
      <c r="P9" s="9"/>
      <c r="Q9" s="9"/>
      <c r="R9" s="9"/>
      <c r="S9" s="9"/>
      <c r="T9" s="9"/>
      <c r="U9" s="9"/>
      <c r="V9" s="9"/>
      <c r="X9" s="6"/>
      <c r="Y9" s="6"/>
      <c r="Z9" s="6"/>
      <c r="AA9" s="19"/>
      <c r="AB9" s="20"/>
      <c r="AC9" s="20"/>
      <c r="AD9" s="20"/>
      <c r="AE9" s="6"/>
      <c r="AF9" s="6"/>
    </row>
    <row r="10" spans="2:33" s="8" customFormat="1" ht="15.75" x14ac:dyDescent="0.25">
      <c r="B10" s="21"/>
      <c r="C10" s="181"/>
      <c r="D10" s="181"/>
      <c r="E10" s="181"/>
      <c r="F10" s="181"/>
      <c r="G10" s="181"/>
      <c r="H10" s="181"/>
      <c r="I10" s="22"/>
      <c r="J10" s="22"/>
      <c r="K10" s="22"/>
      <c r="L10" s="22"/>
      <c r="N10" s="21"/>
      <c r="X10" s="9"/>
      <c r="Y10" s="9"/>
      <c r="Z10" s="9"/>
      <c r="AA10" s="14"/>
      <c r="AB10" s="16"/>
      <c r="AC10" s="16"/>
      <c r="AD10" s="16"/>
      <c r="AE10" s="9"/>
      <c r="AF10" s="9"/>
      <c r="AG10" s="1"/>
    </row>
    <row r="11" spans="2:33" s="8" customFormat="1" ht="32.25" thickBot="1" x14ac:dyDescent="0.25">
      <c r="B11" s="23" t="s">
        <v>26</v>
      </c>
      <c r="C11" s="182" t="s">
        <v>27</v>
      </c>
      <c r="D11" s="182"/>
      <c r="E11" s="182"/>
      <c r="F11" s="182"/>
      <c r="G11" s="24" t="s">
        <v>28</v>
      </c>
      <c r="H11" s="24" t="s">
        <v>29</v>
      </c>
      <c r="I11" s="23" t="s">
        <v>26</v>
      </c>
      <c r="J11" s="182" t="s">
        <v>30</v>
      </c>
      <c r="K11" s="182"/>
      <c r="L11" s="182"/>
      <c r="M11" s="182"/>
      <c r="N11" s="24" t="s">
        <v>28</v>
      </c>
      <c r="O11" s="24" t="s">
        <v>29</v>
      </c>
      <c r="P11" s="23" t="s">
        <v>26</v>
      </c>
      <c r="Q11" s="182" t="s">
        <v>31</v>
      </c>
      <c r="R11" s="182"/>
      <c r="S11" s="182"/>
      <c r="T11" s="182"/>
      <c r="U11" s="24" t="s">
        <v>28</v>
      </c>
      <c r="V11" s="24" t="s">
        <v>29</v>
      </c>
      <c r="W11" s="25" t="s">
        <v>32</v>
      </c>
      <c r="X11" s="9"/>
      <c r="Y11" s="9"/>
      <c r="Z11" s="9"/>
      <c r="AA11" s="14"/>
      <c r="AB11" s="16"/>
      <c r="AC11" s="16"/>
      <c r="AD11" s="16"/>
      <c r="AE11" s="9"/>
      <c r="AF11" s="9"/>
      <c r="AG11" s="1"/>
    </row>
    <row r="12" spans="2:33" s="29" customFormat="1" x14ac:dyDescent="0.2">
      <c r="B12" s="112" t="s">
        <v>33</v>
      </c>
      <c r="C12" s="178"/>
      <c r="D12" s="179"/>
      <c r="E12" s="179"/>
      <c r="F12" s="180"/>
      <c r="G12" s="27">
        <v>18</v>
      </c>
      <c r="H12" s="113">
        <f>G12</f>
        <v>18</v>
      </c>
      <c r="I12" s="114" t="s">
        <v>33</v>
      </c>
      <c r="J12" s="178"/>
      <c r="K12" s="179"/>
      <c r="L12" s="179"/>
      <c r="M12" s="180"/>
      <c r="N12" s="26">
        <v>20</v>
      </c>
      <c r="O12" s="113">
        <f>N12</f>
        <v>20</v>
      </c>
      <c r="P12" s="114" t="s">
        <v>33</v>
      </c>
      <c r="Q12" s="178"/>
      <c r="R12" s="179"/>
      <c r="S12" s="179"/>
      <c r="T12" s="180"/>
      <c r="U12" s="115">
        <v>25</v>
      </c>
      <c r="V12" s="113">
        <f>U12</f>
        <v>25</v>
      </c>
      <c r="W12" s="28"/>
      <c r="X12" s="9"/>
      <c r="Y12" s="9"/>
      <c r="Z12" s="9"/>
      <c r="AA12" s="14"/>
      <c r="AB12" s="16"/>
      <c r="AC12" s="16"/>
      <c r="AD12" s="16"/>
      <c r="AE12" s="9"/>
      <c r="AF12" s="9"/>
      <c r="AG12" s="1"/>
    </row>
    <row r="13" spans="2:33" s="29" customFormat="1" x14ac:dyDescent="0.2">
      <c r="B13" s="116">
        <v>2</v>
      </c>
      <c r="C13" s="171"/>
      <c r="D13" s="172"/>
      <c r="E13" s="172"/>
      <c r="F13" s="173"/>
      <c r="G13" s="40"/>
      <c r="H13" s="117">
        <v>0</v>
      </c>
      <c r="I13" s="116">
        <v>2</v>
      </c>
      <c r="J13" s="171"/>
      <c r="K13" s="172"/>
      <c r="L13" s="172"/>
      <c r="M13" s="173"/>
      <c r="N13" s="32"/>
      <c r="O13" s="117">
        <v>0</v>
      </c>
      <c r="P13" s="116">
        <v>2</v>
      </c>
      <c r="Q13" s="171"/>
      <c r="R13" s="172"/>
      <c r="S13" s="172"/>
      <c r="T13" s="173"/>
      <c r="U13" s="31"/>
      <c r="V13" s="117">
        <v>0</v>
      </c>
      <c r="W13" s="33">
        <f>AVERAGE(V13,O13,H13)</f>
        <v>0</v>
      </c>
      <c r="X13" s="9"/>
      <c r="Y13" s="9"/>
      <c r="Z13" s="9"/>
      <c r="AA13" s="14"/>
      <c r="AB13" s="16"/>
      <c r="AC13" s="16"/>
      <c r="AD13" s="16"/>
      <c r="AE13" s="9"/>
      <c r="AF13" s="9"/>
      <c r="AG13" s="1"/>
    </row>
    <row r="14" spans="2:33" s="29" customFormat="1" x14ac:dyDescent="0.2">
      <c r="B14" s="118">
        <v>2.8</v>
      </c>
      <c r="C14" s="171"/>
      <c r="D14" s="172"/>
      <c r="E14" s="172"/>
      <c r="F14" s="173"/>
      <c r="G14" s="40">
        <v>2</v>
      </c>
      <c r="H14" s="117">
        <f>100*G13/SUM(G$13:G$28)</f>
        <v>0</v>
      </c>
      <c r="I14" s="118">
        <v>2.8</v>
      </c>
      <c r="J14" s="171"/>
      <c r="K14" s="172"/>
      <c r="L14" s="172"/>
      <c r="M14" s="173"/>
      <c r="N14" s="32">
        <v>1</v>
      </c>
      <c r="O14" s="117">
        <f>100*N13/SUM(N$13:N$28)</f>
        <v>0</v>
      </c>
      <c r="P14" s="118">
        <v>2.8</v>
      </c>
      <c r="Q14" s="171"/>
      <c r="R14" s="172"/>
      <c r="S14" s="172"/>
      <c r="T14" s="173"/>
      <c r="U14" s="31">
        <v>1</v>
      </c>
      <c r="V14" s="117">
        <f>100*U13/SUM(U$13:U$28)</f>
        <v>0</v>
      </c>
      <c r="W14" s="33">
        <f t="shared" ref="W14:W25" si="0">AVERAGE(V14,O14,H14)</f>
        <v>0</v>
      </c>
      <c r="X14" s="9"/>
      <c r="Y14" s="9"/>
      <c r="Z14" s="9"/>
      <c r="AA14" s="14"/>
      <c r="AB14" s="16"/>
      <c r="AC14" s="16"/>
      <c r="AD14" s="16"/>
      <c r="AE14" s="9"/>
      <c r="AF14" s="9"/>
      <c r="AG14" s="1"/>
    </row>
    <row r="15" spans="2:33" s="29" customFormat="1" x14ac:dyDescent="0.2">
      <c r="B15" s="116">
        <v>4</v>
      </c>
      <c r="C15" s="171"/>
      <c r="D15" s="172"/>
      <c r="E15" s="172"/>
      <c r="F15" s="173"/>
      <c r="G15" s="40">
        <v>4</v>
      </c>
      <c r="H15" s="117">
        <f>100*G14/SUM(G$13:G$28)+H14</f>
        <v>2</v>
      </c>
      <c r="I15" s="116">
        <v>4</v>
      </c>
      <c r="J15" s="171"/>
      <c r="K15" s="172"/>
      <c r="L15" s="172"/>
      <c r="M15" s="173"/>
      <c r="N15" s="32">
        <v>3</v>
      </c>
      <c r="O15" s="117">
        <f>100*N14/SUM(N$13:N$28)+O14</f>
        <v>1</v>
      </c>
      <c r="P15" s="116">
        <v>4</v>
      </c>
      <c r="Q15" s="171"/>
      <c r="R15" s="172"/>
      <c r="S15" s="172"/>
      <c r="T15" s="173"/>
      <c r="U15" s="31">
        <v>3</v>
      </c>
      <c r="V15" s="117">
        <f>100*U14/SUM(U$13:U$28)+V14</f>
        <v>1</v>
      </c>
      <c r="W15" s="33">
        <f t="shared" si="0"/>
        <v>1.3333333333333333</v>
      </c>
      <c r="X15" s="9"/>
      <c r="Y15" s="9"/>
      <c r="Z15" s="9"/>
      <c r="AA15" s="14"/>
      <c r="AB15" s="9"/>
      <c r="AC15" s="9"/>
      <c r="AD15" s="9"/>
      <c r="AE15" s="9"/>
      <c r="AF15" s="9"/>
      <c r="AG15" s="1"/>
    </row>
    <row r="16" spans="2:33" s="29" customFormat="1" ht="18" x14ac:dyDescent="0.25">
      <c r="B16" s="116">
        <v>5.6</v>
      </c>
      <c r="C16" s="171"/>
      <c r="D16" s="172"/>
      <c r="E16" s="172"/>
      <c r="F16" s="173"/>
      <c r="G16" s="40">
        <v>4</v>
      </c>
      <c r="H16" s="117">
        <f t="shared" ref="H16:H28" si="1">100*G15/SUM(G$13:G$28)+H15</f>
        <v>6</v>
      </c>
      <c r="I16" s="116">
        <v>5.6</v>
      </c>
      <c r="J16" s="171"/>
      <c r="K16" s="172"/>
      <c r="L16" s="172"/>
      <c r="M16" s="173"/>
      <c r="N16" s="32">
        <v>3</v>
      </c>
      <c r="O16" s="117">
        <f t="shared" ref="O16:O28" si="2">100*N15/SUM(N$13:N$28)+O15</f>
        <v>4</v>
      </c>
      <c r="P16" s="116">
        <v>5.6</v>
      </c>
      <c r="Q16" s="171"/>
      <c r="R16" s="172"/>
      <c r="S16" s="172"/>
      <c r="T16" s="173"/>
      <c r="U16" s="31">
        <v>8</v>
      </c>
      <c r="V16" s="117">
        <f t="shared" ref="V16:V28" si="3">100*U15/SUM(U$13:U$28)+V15</f>
        <v>4</v>
      </c>
      <c r="W16" s="33">
        <f t="shared" si="0"/>
        <v>4.666666666666667</v>
      </c>
      <c r="X16" s="34" t="s">
        <v>34</v>
      </c>
      <c r="Y16" s="35"/>
      <c r="Z16" s="35"/>
      <c r="AA16" s="36"/>
      <c r="AB16" s="37"/>
      <c r="AC16" s="37"/>
      <c r="AD16" s="37"/>
      <c r="AE16" s="37"/>
      <c r="AF16" s="37"/>
      <c r="AG16" s="1"/>
    </row>
    <row r="17" spans="2:33" s="29" customFormat="1" x14ac:dyDescent="0.2">
      <c r="B17" s="116">
        <v>8</v>
      </c>
      <c r="C17" s="171"/>
      <c r="D17" s="172"/>
      <c r="E17" s="172"/>
      <c r="F17" s="173"/>
      <c r="G17" s="40">
        <v>10</v>
      </c>
      <c r="H17" s="117">
        <f t="shared" si="1"/>
        <v>10</v>
      </c>
      <c r="I17" s="116">
        <v>8</v>
      </c>
      <c r="J17" s="171"/>
      <c r="K17" s="172"/>
      <c r="L17" s="172"/>
      <c r="M17" s="173"/>
      <c r="N17" s="32">
        <v>4</v>
      </c>
      <c r="O17" s="117">
        <f t="shared" si="2"/>
        <v>7</v>
      </c>
      <c r="P17" s="116">
        <v>8</v>
      </c>
      <c r="Q17" s="171"/>
      <c r="R17" s="172"/>
      <c r="S17" s="172"/>
      <c r="T17" s="173"/>
      <c r="U17" s="31">
        <v>6</v>
      </c>
      <c r="V17" s="117">
        <f t="shared" si="3"/>
        <v>12</v>
      </c>
      <c r="W17" s="33">
        <f t="shared" si="0"/>
        <v>9.6666666666666661</v>
      </c>
      <c r="X17" s="37" t="s">
        <v>35</v>
      </c>
      <c r="Y17" s="177" t="s">
        <v>36</v>
      </c>
      <c r="Z17" s="177"/>
      <c r="AA17" s="177"/>
      <c r="AB17" s="177"/>
      <c r="AC17" s="177"/>
      <c r="AD17" s="177"/>
      <c r="AE17" s="177"/>
      <c r="AF17" s="177"/>
      <c r="AG17" s="8"/>
    </row>
    <row r="18" spans="2:33" s="29" customFormat="1" x14ac:dyDescent="0.2">
      <c r="B18" s="116">
        <v>11</v>
      </c>
      <c r="C18" s="171"/>
      <c r="D18" s="172"/>
      <c r="E18" s="172"/>
      <c r="F18" s="173"/>
      <c r="G18" s="40">
        <v>9</v>
      </c>
      <c r="H18" s="117">
        <f t="shared" si="1"/>
        <v>20</v>
      </c>
      <c r="I18" s="116">
        <v>11</v>
      </c>
      <c r="J18" s="171"/>
      <c r="K18" s="172"/>
      <c r="L18" s="172"/>
      <c r="M18" s="173"/>
      <c r="N18" s="32">
        <v>13</v>
      </c>
      <c r="O18" s="117">
        <f t="shared" si="2"/>
        <v>11</v>
      </c>
      <c r="P18" s="116">
        <v>11</v>
      </c>
      <c r="Q18" s="171"/>
      <c r="R18" s="172"/>
      <c r="S18" s="172"/>
      <c r="T18" s="173"/>
      <c r="U18" s="31">
        <v>8</v>
      </c>
      <c r="V18" s="117">
        <f t="shared" si="3"/>
        <v>18</v>
      </c>
      <c r="W18" s="33">
        <f>AVERAGE(V18,O18,H18)</f>
        <v>16.333333333333332</v>
      </c>
      <c r="X18" s="38">
        <v>637</v>
      </c>
      <c r="Y18" s="147" t="s">
        <v>37</v>
      </c>
      <c r="Z18" s="148"/>
      <c r="AA18" s="148"/>
      <c r="AB18" s="148"/>
      <c r="AC18" s="148"/>
      <c r="AD18" s="148"/>
      <c r="AE18" s="148"/>
      <c r="AF18" s="149"/>
    </row>
    <row r="19" spans="2:33" s="29" customFormat="1" x14ac:dyDescent="0.2">
      <c r="B19" s="116">
        <v>16</v>
      </c>
      <c r="C19" s="171"/>
      <c r="D19" s="172"/>
      <c r="E19" s="172"/>
      <c r="F19" s="173"/>
      <c r="G19" s="40">
        <v>13</v>
      </c>
      <c r="H19" s="117">
        <f t="shared" si="1"/>
        <v>29</v>
      </c>
      <c r="I19" s="116">
        <v>16</v>
      </c>
      <c r="J19" s="171"/>
      <c r="K19" s="172"/>
      <c r="L19" s="172"/>
      <c r="M19" s="173"/>
      <c r="N19" s="32">
        <v>12</v>
      </c>
      <c r="O19" s="117">
        <f t="shared" si="2"/>
        <v>24</v>
      </c>
      <c r="P19" s="116">
        <v>16</v>
      </c>
      <c r="Q19" s="171"/>
      <c r="R19" s="172"/>
      <c r="S19" s="172"/>
      <c r="T19" s="173"/>
      <c r="U19" s="31">
        <v>23</v>
      </c>
      <c r="V19" s="117">
        <f t="shared" si="3"/>
        <v>26</v>
      </c>
      <c r="W19" s="33">
        <f t="shared" si="0"/>
        <v>26.333333333333332</v>
      </c>
      <c r="X19" s="38">
        <v>638</v>
      </c>
      <c r="Y19" s="147" t="s">
        <v>38</v>
      </c>
      <c r="Z19" s="148"/>
      <c r="AA19" s="148"/>
      <c r="AB19" s="148"/>
      <c r="AC19" s="148"/>
      <c r="AD19" s="148"/>
      <c r="AE19" s="148"/>
      <c r="AF19" s="149"/>
    </row>
    <row r="20" spans="2:33" s="29" customFormat="1" x14ac:dyDescent="0.2">
      <c r="B20" s="116">
        <v>22.5</v>
      </c>
      <c r="C20" s="171"/>
      <c r="D20" s="172"/>
      <c r="E20" s="172"/>
      <c r="F20" s="173"/>
      <c r="G20" s="40">
        <v>13</v>
      </c>
      <c r="H20" s="117">
        <f t="shared" si="1"/>
        <v>42</v>
      </c>
      <c r="I20" s="116">
        <v>22.5</v>
      </c>
      <c r="J20" s="171"/>
      <c r="K20" s="172"/>
      <c r="L20" s="172"/>
      <c r="M20" s="173"/>
      <c r="N20" s="32">
        <v>18</v>
      </c>
      <c r="O20" s="117">
        <f t="shared" si="2"/>
        <v>36</v>
      </c>
      <c r="P20" s="116">
        <v>22.5</v>
      </c>
      <c r="Q20" s="171"/>
      <c r="R20" s="172"/>
      <c r="S20" s="172"/>
      <c r="T20" s="173"/>
      <c r="U20" s="31">
        <v>9</v>
      </c>
      <c r="V20" s="117">
        <f t="shared" si="3"/>
        <v>49</v>
      </c>
      <c r="W20" s="33">
        <f t="shared" si="0"/>
        <v>42.333333333333336</v>
      </c>
      <c r="X20" s="28">
        <v>639</v>
      </c>
      <c r="Y20" s="147" t="s">
        <v>39</v>
      </c>
      <c r="Z20" s="148"/>
      <c r="AA20" s="148"/>
      <c r="AB20" s="148"/>
      <c r="AC20" s="148"/>
      <c r="AD20" s="148"/>
      <c r="AE20" s="148"/>
      <c r="AF20" s="149"/>
    </row>
    <row r="21" spans="2:33" s="29" customFormat="1" x14ac:dyDescent="0.2">
      <c r="B21" s="116">
        <v>32</v>
      </c>
      <c r="C21" s="171"/>
      <c r="D21" s="172"/>
      <c r="E21" s="172"/>
      <c r="F21" s="173"/>
      <c r="G21" s="40">
        <v>15</v>
      </c>
      <c r="H21" s="117">
        <f t="shared" si="1"/>
        <v>55</v>
      </c>
      <c r="I21" s="116">
        <v>32</v>
      </c>
      <c r="J21" s="171"/>
      <c r="K21" s="172"/>
      <c r="L21" s="172"/>
      <c r="M21" s="173"/>
      <c r="N21" s="32">
        <v>14</v>
      </c>
      <c r="O21" s="117">
        <f>100*N20/SUM(N$13:N$28)+O20</f>
        <v>54</v>
      </c>
      <c r="P21" s="116">
        <v>32</v>
      </c>
      <c r="Q21" s="171"/>
      <c r="R21" s="172"/>
      <c r="S21" s="172"/>
      <c r="T21" s="173"/>
      <c r="U21" s="31">
        <v>14</v>
      </c>
      <c r="V21" s="117">
        <f t="shared" si="3"/>
        <v>58</v>
      </c>
      <c r="W21" s="33">
        <f t="shared" si="0"/>
        <v>55.666666666666664</v>
      </c>
      <c r="X21" s="28">
        <v>640</v>
      </c>
      <c r="Y21" s="147" t="s">
        <v>40</v>
      </c>
      <c r="Z21" s="148"/>
      <c r="AA21" s="148"/>
      <c r="AB21" s="148"/>
      <c r="AC21" s="148"/>
      <c r="AD21" s="148"/>
      <c r="AE21" s="148"/>
      <c r="AF21" s="149"/>
    </row>
    <row r="22" spans="2:33" s="29" customFormat="1" x14ac:dyDescent="0.2">
      <c r="B22" s="116">
        <v>45</v>
      </c>
      <c r="C22" s="171"/>
      <c r="D22" s="172"/>
      <c r="E22" s="172"/>
      <c r="F22" s="173"/>
      <c r="G22" s="40">
        <v>10</v>
      </c>
      <c r="H22" s="117">
        <f t="shared" si="1"/>
        <v>70</v>
      </c>
      <c r="I22" s="116">
        <v>45</v>
      </c>
      <c r="J22" s="171"/>
      <c r="K22" s="172"/>
      <c r="L22" s="172"/>
      <c r="M22" s="173"/>
      <c r="N22" s="119">
        <v>11</v>
      </c>
      <c r="O22" s="117">
        <f t="shared" si="2"/>
        <v>68</v>
      </c>
      <c r="P22" s="116">
        <v>45</v>
      </c>
      <c r="Q22" s="171"/>
      <c r="R22" s="172"/>
      <c r="S22" s="172"/>
      <c r="T22" s="173"/>
      <c r="U22" s="31">
        <v>13</v>
      </c>
      <c r="V22" s="117">
        <f t="shared" si="3"/>
        <v>72</v>
      </c>
      <c r="W22" s="33">
        <f t="shared" si="0"/>
        <v>70</v>
      </c>
      <c r="X22" s="28">
        <v>641</v>
      </c>
      <c r="Y22" s="147" t="s">
        <v>41</v>
      </c>
      <c r="Z22" s="148"/>
      <c r="AA22" s="148"/>
      <c r="AB22" s="148"/>
      <c r="AC22" s="148"/>
      <c r="AD22" s="148"/>
      <c r="AE22" s="148"/>
      <c r="AF22" s="149"/>
    </row>
    <row r="23" spans="2:33" s="29" customFormat="1" x14ac:dyDescent="0.2">
      <c r="B23" s="120">
        <v>64</v>
      </c>
      <c r="C23" s="171"/>
      <c r="D23" s="172"/>
      <c r="E23" s="172"/>
      <c r="F23" s="173"/>
      <c r="G23" s="40">
        <v>14</v>
      </c>
      <c r="H23" s="117">
        <f t="shared" si="1"/>
        <v>80</v>
      </c>
      <c r="I23" s="120">
        <v>64</v>
      </c>
      <c r="J23" s="171"/>
      <c r="K23" s="172"/>
      <c r="L23" s="172"/>
      <c r="M23" s="173"/>
      <c r="N23" s="121">
        <v>12</v>
      </c>
      <c r="O23" s="117">
        <f t="shared" si="2"/>
        <v>79</v>
      </c>
      <c r="P23" s="120">
        <v>64</v>
      </c>
      <c r="Q23" s="171"/>
      <c r="R23" s="172"/>
      <c r="S23" s="172"/>
      <c r="T23" s="173"/>
      <c r="U23" s="39">
        <v>9</v>
      </c>
      <c r="V23" s="117">
        <f t="shared" si="3"/>
        <v>85</v>
      </c>
      <c r="W23" s="33">
        <f t="shared" si="0"/>
        <v>81.333333333333329</v>
      </c>
      <c r="X23" s="28">
        <v>642</v>
      </c>
      <c r="Y23" s="147" t="s">
        <v>42</v>
      </c>
      <c r="Z23" s="148"/>
      <c r="AA23" s="148"/>
      <c r="AB23" s="148"/>
      <c r="AC23" s="148"/>
      <c r="AD23" s="148"/>
      <c r="AE23" s="148"/>
      <c r="AF23" s="149"/>
    </row>
    <row r="24" spans="2:33" s="29" customFormat="1" x14ac:dyDescent="0.2">
      <c r="B24" s="116">
        <v>90</v>
      </c>
      <c r="C24" s="171"/>
      <c r="D24" s="172"/>
      <c r="E24" s="172"/>
      <c r="F24" s="173"/>
      <c r="G24" s="40">
        <v>3</v>
      </c>
      <c r="H24" s="117">
        <f t="shared" si="1"/>
        <v>94</v>
      </c>
      <c r="I24" s="116">
        <v>90</v>
      </c>
      <c r="J24" s="171"/>
      <c r="K24" s="172"/>
      <c r="L24" s="172"/>
      <c r="M24" s="173"/>
      <c r="N24" s="30">
        <v>4</v>
      </c>
      <c r="O24" s="117">
        <f t="shared" si="2"/>
        <v>91</v>
      </c>
      <c r="P24" s="116">
        <v>90</v>
      </c>
      <c r="Q24" s="171"/>
      <c r="R24" s="172"/>
      <c r="S24" s="172"/>
      <c r="T24" s="173"/>
      <c r="U24" s="39">
        <v>4</v>
      </c>
      <c r="V24" s="117">
        <f t="shared" si="3"/>
        <v>94</v>
      </c>
      <c r="W24" s="33">
        <f t="shared" si="0"/>
        <v>93</v>
      </c>
      <c r="X24" s="28">
        <v>643</v>
      </c>
      <c r="Y24" s="147" t="s">
        <v>43</v>
      </c>
      <c r="Z24" s="148"/>
      <c r="AA24" s="148"/>
      <c r="AB24" s="148"/>
      <c r="AC24" s="148"/>
      <c r="AD24" s="148"/>
      <c r="AE24" s="148"/>
      <c r="AF24" s="149"/>
    </row>
    <row r="25" spans="2:33" s="29" customFormat="1" x14ac:dyDescent="0.2">
      <c r="B25" s="118">
        <v>128</v>
      </c>
      <c r="C25" s="171"/>
      <c r="D25" s="172"/>
      <c r="E25" s="172"/>
      <c r="F25" s="173"/>
      <c r="G25" s="40">
        <v>2</v>
      </c>
      <c r="H25" s="117">
        <f t="shared" si="1"/>
        <v>97</v>
      </c>
      <c r="I25" s="118">
        <v>128</v>
      </c>
      <c r="J25" s="171"/>
      <c r="K25" s="172"/>
      <c r="L25" s="172"/>
      <c r="M25" s="173"/>
      <c r="N25" s="30">
        <v>5</v>
      </c>
      <c r="O25" s="117">
        <f t="shared" si="2"/>
        <v>95</v>
      </c>
      <c r="P25" s="118">
        <v>128</v>
      </c>
      <c r="Q25" s="171"/>
      <c r="R25" s="172"/>
      <c r="S25" s="172"/>
      <c r="T25" s="173"/>
      <c r="U25" s="39">
        <v>2</v>
      </c>
      <c r="V25" s="117">
        <f t="shared" si="3"/>
        <v>98</v>
      </c>
      <c r="W25" s="33">
        <f t="shared" si="0"/>
        <v>96.666666666666671</v>
      </c>
      <c r="X25" s="28">
        <v>644</v>
      </c>
      <c r="Y25" s="147" t="s">
        <v>44</v>
      </c>
      <c r="Z25" s="148"/>
      <c r="AA25" s="148"/>
      <c r="AB25" s="148"/>
      <c r="AC25" s="148"/>
      <c r="AD25" s="148"/>
      <c r="AE25" s="148"/>
      <c r="AF25" s="149"/>
    </row>
    <row r="26" spans="2:33" s="29" customFormat="1" x14ac:dyDescent="0.2">
      <c r="B26" s="118">
        <v>180</v>
      </c>
      <c r="C26" s="171"/>
      <c r="D26" s="172"/>
      <c r="E26" s="172"/>
      <c r="F26" s="173"/>
      <c r="G26" s="40">
        <v>1</v>
      </c>
      <c r="H26" s="117">
        <f t="shared" si="1"/>
        <v>99</v>
      </c>
      <c r="I26" s="118">
        <v>180</v>
      </c>
      <c r="J26" s="171"/>
      <c r="K26" s="172"/>
      <c r="L26" s="172"/>
      <c r="M26" s="173"/>
      <c r="N26" s="32"/>
      <c r="O26" s="117">
        <f t="shared" si="2"/>
        <v>100</v>
      </c>
      <c r="P26" s="118">
        <v>180</v>
      </c>
      <c r="Q26" s="171"/>
      <c r="R26" s="172"/>
      <c r="S26" s="172"/>
      <c r="T26" s="173"/>
      <c r="U26" s="39"/>
      <c r="V26" s="117">
        <f t="shared" si="3"/>
        <v>100</v>
      </c>
      <c r="W26" s="33">
        <f>AVERAGE(H26,V26,O26)</f>
        <v>99.666666666666671</v>
      </c>
      <c r="X26" s="28">
        <v>652</v>
      </c>
      <c r="Y26" s="147" t="s">
        <v>45</v>
      </c>
      <c r="Z26" s="148"/>
      <c r="AA26" s="148"/>
      <c r="AB26" s="148"/>
      <c r="AC26" s="148"/>
      <c r="AD26" s="148"/>
      <c r="AE26" s="148"/>
      <c r="AF26" s="149"/>
    </row>
    <row r="27" spans="2:33" s="29" customFormat="1" x14ac:dyDescent="0.2">
      <c r="B27" s="118">
        <v>256</v>
      </c>
      <c r="C27" s="171"/>
      <c r="D27" s="172"/>
      <c r="E27" s="172"/>
      <c r="F27" s="173"/>
      <c r="G27" s="40"/>
      <c r="H27" s="117">
        <f t="shared" si="1"/>
        <v>100</v>
      </c>
      <c r="I27" s="118">
        <v>256</v>
      </c>
      <c r="J27" s="171"/>
      <c r="K27" s="172"/>
      <c r="L27" s="172"/>
      <c r="M27" s="173"/>
      <c r="N27" s="32"/>
      <c r="O27" s="117">
        <f t="shared" si="2"/>
        <v>100</v>
      </c>
      <c r="P27" s="118">
        <v>256</v>
      </c>
      <c r="Q27" s="171"/>
      <c r="R27" s="172"/>
      <c r="S27" s="172"/>
      <c r="T27" s="173"/>
      <c r="U27" s="39"/>
      <c r="V27" s="117">
        <f t="shared" si="3"/>
        <v>100</v>
      </c>
      <c r="W27" s="33">
        <f>AVERAGE(H27,V27,O27)</f>
        <v>100</v>
      </c>
      <c r="X27" s="28"/>
      <c r="Y27" s="147"/>
      <c r="Z27" s="148"/>
      <c r="AA27" s="148"/>
      <c r="AB27" s="148"/>
      <c r="AC27" s="148"/>
      <c r="AD27" s="148"/>
      <c r="AE27" s="148"/>
      <c r="AF27" s="149"/>
    </row>
    <row r="28" spans="2:33" s="29" customFormat="1" ht="18" thickBot="1" x14ac:dyDescent="0.3">
      <c r="B28" s="122">
        <v>360</v>
      </c>
      <c r="C28" s="174"/>
      <c r="D28" s="175"/>
      <c r="E28" s="175"/>
      <c r="F28" s="176"/>
      <c r="G28" s="123"/>
      <c r="H28" s="117">
        <f t="shared" si="1"/>
        <v>100</v>
      </c>
      <c r="I28" s="122">
        <v>360</v>
      </c>
      <c r="J28" s="174"/>
      <c r="K28" s="175"/>
      <c r="L28" s="175"/>
      <c r="M28" s="176"/>
      <c r="N28" s="124"/>
      <c r="O28" s="117">
        <f t="shared" si="2"/>
        <v>100</v>
      </c>
      <c r="P28" s="122">
        <v>360</v>
      </c>
      <c r="Q28" s="174"/>
      <c r="R28" s="175"/>
      <c r="S28" s="175"/>
      <c r="T28" s="176"/>
      <c r="U28" s="125"/>
      <c r="V28" s="117">
        <f t="shared" si="3"/>
        <v>100</v>
      </c>
      <c r="W28" s="126">
        <f>AVERAGE(V28,O28,H28)</f>
        <v>100</v>
      </c>
      <c r="X28" s="28"/>
      <c r="Y28" s="147"/>
      <c r="Z28" s="148"/>
      <c r="AA28" s="148"/>
      <c r="AB28" s="148"/>
      <c r="AC28" s="148"/>
      <c r="AD28" s="148"/>
      <c r="AE28" s="148"/>
      <c r="AF28" s="149"/>
      <c r="AG28" s="41"/>
    </row>
    <row r="29" spans="2:33" s="29" customFormat="1" x14ac:dyDescent="0.2">
      <c r="H29" s="42"/>
      <c r="X29" s="28"/>
      <c r="Y29" s="147"/>
      <c r="Z29" s="148"/>
      <c r="AA29" s="148"/>
      <c r="AB29" s="148"/>
      <c r="AC29" s="148"/>
      <c r="AD29" s="148"/>
      <c r="AE29" s="148"/>
      <c r="AF29" s="149"/>
    </row>
    <row r="30" spans="2:33" s="29" customFormat="1" ht="15" thickBot="1" x14ac:dyDescent="0.25">
      <c r="C30" s="163" t="s">
        <v>46</v>
      </c>
      <c r="D30" s="163"/>
      <c r="E30" s="163"/>
      <c r="F30" s="163"/>
      <c r="G30" s="163"/>
      <c r="H30" s="163"/>
      <c r="I30" s="110"/>
      <c r="J30" s="163" t="s">
        <v>47</v>
      </c>
      <c r="K30" s="163"/>
      <c r="L30" s="163"/>
      <c r="M30" s="163"/>
      <c r="N30" s="163"/>
      <c r="O30" s="163"/>
      <c r="P30" s="110"/>
      <c r="Q30" s="163" t="s">
        <v>48</v>
      </c>
      <c r="R30" s="163"/>
      <c r="S30" s="163"/>
      <c r="T30" s="163"/>
      <c r="U30" s="163"/>
      <c r="V30" s="163"/>
      <c r="X30" s="28"/>
      <c r="Y30" s="147"/>
      <c r="Z30" s="148"/>
      <c r="AA30" s="148"/>
      <c r="AB30" s="148"/>
      <c r="AC30" s="148"/>
      <c r="AD30" s="148"/>
      <c r="AE30" s="148"/>
      <c r="AF30" s="149"/>
    </row>
    <row r="31" spans="2:33" s="29" customFormat="1" x14ac:dyDescent="0.2">
      <c r="C31" s="44"/>
      <c r="D31" s="45"/>
      <c r="E31" s="45"/>
      <c r="F31" s="45"/>
      <c r="G31" s="164"/>
      <c r="H31" s="165"/>
      <c r="I31" s="35"/>
      <c r="J31" s="44"/>
      <c r="K31" s="45"/>
      <c r="L31" s="45"/>
      <c r="M31" s="45"/>
      <c r="N31" s="164"/>
      <c r="O31" s="165"/>
      <c r="Q31" s="44"/>
      <c r="R31" s="45"/>
      <c r="S31" s="45"/>
      <c r="T31" s="45"/>
      <c r="U31" s="164"/>
      <c r="V31" s="165"/>
    </row>
    <row r="32" spans="2:33" s="29" customFormat="1" x14ac:dyDescent="0.2">
      <c r="C32" s="46"/>
      <c r="D32" s="47"/>
      <c r="E32" s="47"/>
      <c r="F32" s="47"/>
      <c r="G32" s="166"/>
      <c r="H32" s="167"/>
      <c r="I32" s="35"/>
      <c r="J32" s="46"/>
      <c r="K32" s="47"/>
      <c r="L32" s="47"/>
      <c r="M32" s="47"/>
      <c r="N32" s="166"/>
      <c r="O32" s="167"/>
      <c r="Q32" s="46"/>
      <c r="R32" s="47"/>
      <c r="S32" s="47"/>
      <c r="T32" s="47"/>
      <c r="U32" s="166"/>
      <c r="V32" s="167"/>
      <c r="X32" s="1"/>
      <c r="AA32" s="1"/>
      <c r="AC32" s="1"/>
      <c r="AD32" s="42"/>
      <c r="AF32" s="48"/>
    </row>
    <row r="33" spans="2:32" s="29" customFormat="1" ht="18" x14ac:dyDescent="0.2">
      <c r="C33" s="46"/>
      <c r="D33" s="47"/>
      <c r="E33" s="47"/>
      <c r="F33" s="47"/>
      <c r="G33" s="166"/>
      <c r="H33" s="167"/>
      <c r="I33" s="35"/>
      <c r="J33" s="46"/>
      <c r="K33" s="47"/>
      <c r="L33" s="47"/>
      <c r="M33" s="47"/>
      <c r="N33" s="166"/>
      <c r="O33" s="167"/>
      <c r="Q33" s="46"/>
      <c r="R33" s="47"/>
      <c r="S33" s="47"/>
      <c r="T33" s="47"/>
      <c r="U33" s="166"/>
      <c r="V33" s="167"/>
      <c r="Y33" s="49"/>
      <c r="Z33" s="170"/>
      <c r="AA33" s="170"/>
      <c r="AB33" s="170"/>
      <c r="AC33" s="43"/>
      <c r="AE33" s="17"/>
      <c r="AF33" s="50"/>
    </row>
    <row r="34" spans="2:32" s="29" customFormat="1" ht="18.75" thickBot="1" x14ac:dyDescent="0.25">
      <c r="C34" s="51"/>
      <c r="D34" s="52"/>
      <c r="E34" s="52"/>
      <c r="F34" s="52"/>
      <c r="G34" s="168"/>
      <c r="H34" s="169"/>
      <c r="I34" s="35"/>
      <c r="J34" s="51"/>
      <c r="K34" s="52"/>
      <c r="L34" s="52"/>
      <c r="M34" s="52"/>
      <c r="N34" s="53"/>
      <c r="O34" s="54"/>
      <c r="Q34" s="51"/>
      <c r="R34" s="52"/>
      <c r="S34" s="52"/>
      <c r="T34" s="52"/>
      <c r="U34" s="168"/>
      <c r="V34" s="169"/>
      <c r="Y34" s="49"/>
      <c r="Z34" s="170"/>
      <c r="AA34" s="170"/>
      <c r="AB34" s="170"/>
      <c r="AC34" s="43"/>
      <c r="AE34" s="17"/>
      <c r="AF34" s="50"/>
    </row>
    <row r="35" spans="2:32" s="29" customFormat="1" x14ac:dyDescent="0.2">
      <c r="B35" s="1" t="s">
        <v>49</v>
      </c>
      <c r="C35" s="29" t="s">
        <v>50</v>
      </c>
      <c r="G35" s="1"/>
      <c r="H35" s="42"/>
      <c r="K35" s="1" t="s">
        <v>51</v>
      </c>
      <c r="L35" s="1"/>
      <c r="M35" s="1">
        <v>654</v>
      </c>
      <c r="N35" s="1"/>
      <c r="R35" s="48"/>
      <c r="S35" s="48"/>
      <c r="T35" s="48"/>
      <c r="V35" s="48" t="s">
        <v>142</v>
      </c>
      <c r="X35" s="1" t="s">
        <v>52</v>
      </c>
      <c r="Y35" s="1"/>
      <c r="Z35" s="1"/>
      <c r="AA35" s="1" t="s">
        <v>51</v>
      </c>
      <c r="AB35" s="1">
        <v>655</v>
      </c>
      <c r="AD35" s="1"/>
      <c r="AE35" s="1"/>
      <c r="AF35" s="48" t="s">
        <v>53</v>
      </c>
    </row>
    <row r="36" spans="2:32" s="29" customFormat="1" x14ac:dyDescent="0.2">
      <c r="G36" s="35"/>
      <c r="H36" s="55"/>
      <c r="I36" s="35"/>
      <c r="J36" s="35"/>
      <c r="K36" s="35"/>
      <c r="L36" s="35"/>
      <c r="M36" s="35"/>
      <c r="N36" s="36"/>
      <c r="O36" s="37"/>
      <c r="P36" s="37"/>
      <c r="Q36" s="37"/>
      <c r="R36" s="37"/>
      <c r="S36" s="37"/>
      <c r="T36" s="37"/>
      <c r="Z36" s="43"/>
      <c r="AA36" s="56"/>
      <c r="AB36" s="43"/>
      <c r="AD36" s="37"/>
      <c r="AE36" s="37"/>
    </row>
    <row r="37" spans="2:32" s="29" customFormat="1" x14ac:dyDescent="0.2">
      <c r="H37" s="42"/>
      <c r="Y37" s="37"/>
      <c r="Z37" s="35"/>
      <c r="AA37" s="35"/>
      <c r="AB37" s="36"/>
      <c r="AC37" s="37"/>
      <c r="AD37" s="37"/>
      <c r="AE37" s="37"/>
    </row>
    <row r="38" spans="2:32" s="29" customFormat="1" x14ac:dyDescent="0.2">
      <c r="E38" s="127"/>
      <c r="F38" s="127"/>
      <c r="G38" s="127"/>
      <c r="H38" s="128"/>
      <c r="I38" s="127"/>
      <c r="J38" s="127"/>
      <c r="K38" s="127"/>
      <c r="L38" s="127"/>
      <c r="M38" s="127"/>
      <c r="N38" s="127"/>
      <c r="O38" s="127"/>
      <c r="P38" s="127"/>
      <c r="Q38" s="127"/>
      <c r="R38" s="127"/>
      <c r="S38" s="127"/>
      <c r="T38" s="127"/>
      <c r="U38" s="127"/>
      <c r="V38" s="127"/>
      <c r="W38" s="127" t="s">
        <v>138</v>
      </c>
      <c r="Y38" s="35"/>
      <c r="Z38" s="35"/>
      <c r="AA38" s="35"/>
      <c r="AB38" s="36"/>
      <c r="AC38" s="37"/>
      <c r="AE38" s="37"/>
    </row>
    <row r="39" spans="2:32" s="29" customFormat="1" ht="15" x14ac:dyDescent="0.25">
      <c r="E39" s="129" t="s">
        <v>139</v>
      </c>
      <c r="F39" s="129" t="s">
        <v>26</v>
      </c>
      <c r="G39" s="127"/>
      <c r="H39" s="127"/>
      <c r="I39" s="127"/>
      <c r="J39" s="127"/>
      <c r="K39" s="127"/>
      <c r="L39" s="129" t="s">
        <v>139</v>
      </c>
      <c r="M39" s="129" t="s">
        <v>26</v>
      </c>
      <c r="N39" s="127"/>
      <c r="O39" s="127"/>
      <c r="P39" s="127"/>
      <c r="Q39" s="127"/>
      <c r="R39" s="127"/>
      <c r="S39" s="129" t="s">
        <v>139</v>
      </c>
      <c r="T39" s="129" t="s">
        <v>26</v>
      </c>
      <c r="U39" s="127"/>
      <c r="V39" s="127"/>
      <c r="W39" s="129" t="s">
        <v>26</v>
      </c>
      <c r="Y39" s="35"/>
      <c r="Z39" s="35"/>
      <c r="AA39" s="35"/>
      <c r="AB39" s="36"/>
      <c r="AC39" s="37"/>
      <c r="AE39" s="37"/>
    </row>
    <row r="40" spans="2:32" s="29" customFormat="1" ht="15" x14ac:dyDescent="0.25">
      <c r="E40" s="129">
        <v>16</v>
      </c>
      <c r="F40" s="130">
        <f ca="1">10^(FORECAST(E40,LOG(OFFSET(B$13:B$28,MATCH(E40,H$13:H$28,1)-1,0,2)),OFFSET(H$13:H$28,MATCH(E40,H$13:H$28,1)-1,0,2)))</f>
        <v>9.6843751777758893</v>
      </c>
      <c r="G40" s="127"/>
      <c r="H40" s="127"/>
      <c r="I40" s="127"/>
      <c r="J40" s="127"/>
      <c r="K40" s="127"/>
      <c r="L40" s="129">
        <v>16</v>
      </c>
      <c r="M40" s="130">
        <f ca="1">10^(FORECAST(L40,LOG(OFFSET(I$13:I$28,MATCH(L40,O$13:O$28,1)-1,0,2)),OFFSET(O$13:O$28,MATCH(L40,O$13:O$28,1)-1,0,2)))</f>
        <v>12.705159082791344</v>
      </c>
      <c r="N40" s="127"/>
      <c r="O40" s="127"/>
      <c r="P40" s="127"/>
      <c r="Q40" s="127"/>
      <c r="R40" s="127"/>
      <c r="S40" s="129">
        <v>16</v>
      </c>
      <c r="T40" s="130">
        <f ca="1">10^(FORECAST(S40,LOG(OFFSET(P$13:P$28,MATCH(S40,V$13:V$28,1)-1,0,2)),OFFSET(V$13:V$28,MATCH(S40,V$13:V$28,1)-1,0,2)))</f>
        <v>9.8921748864974042</v>
      </c>
      <c r="U40" s="127"/>
      <c r="V40" s="131"/>
      <c r="W40" s="130">
        <f ca="1">10^(FORECAST(S40,LOG(OFFSET(P$13:P$28,MATCH(S40,W$13:W$28,1)-1,0,2)),OFFSET(W$13:W$28,MATCH(S40,W$13:W$28,1)-1,0,2)))</f>
        <v>10.826237501960399</v>
      </c>
    </row>
    <row r="41" spans="2:32" s="29" customFormat="1" ht="15" x14ac:dyDescent="0.25">
      <c r="E41" s="129">
        <v>50</v>
      </c>
      <c r="F41" s="130">
        <f t="shared" ref="F41:F42" ca="1" si="4">10^(FORECAST(E41,LOG(OFFSET(B$13:B$28,MATCH(E41,H$13:H$28,1)-1,0,2)),OFFSET(H$13:H$28,MATCH(E41,H$13:H$28,1)-1,0,2)))</f>
        <v>27.945786690914385</v>
      </c>
      <c r="G41" s="127"/>
      <c r="H41" s="127"/>
      <c r="I41" s="127"/>
      <c r="J41" s="127"/>
      <c r="K41" s="127"/>
      <c r="L41" s="129">
        <v>50</v>
      </c>
      <c r="M41" s="130">
        <f t="shared" ref="M41:M43" ca="1" si="5">10^(FORECAST(L41,LOG(OFFSET(I$13:I$28,MATCH(L41,O$13:O$28,1)-1,0,2)),OFFSET(O$13:O$28,MATCH(L41,O$13:O$28,1)-1,0,2)))</f>
        <v>29.59083425351195</v>
      </c>
      <c r="N41" s="127"/>
      <c r="O41" s="127"/>
      <c r="P41" s="127"/>
      <c r="Q41" s="127"/>
      <c r="R41" s="127"/>
      <c r="S41" s="129">
        <v>50</v>
      </c>
      <c r="T41" s="130">
        <f t="shared" ref="T41:T43" ca="1" si="6">10^(FORECAST(S41,LOG(OFFSET(P$13:P$28,MATCH(S41,V$13:V$28,1)-1,0,2)),OFFSET(V$13:V$28,MATCH(S41,V$13:V$28,1)-1,0,2)))</f>
        <v>23.39800894025802</v>
      </c>
      <c r="U41" s="127"/>
      <c r="V41" s="131"/>
      <c r="W41" s="130">
        <f t="shared" ref="W41:W43" ca="1" si="7">10^(FORECAST(S41,LOG(OFFSET(P$13:P$28,MATCH(S41,W$13:W$28,1)-1,0,2)),OFFSET(W$13:W$28,MATCH(S41,W$13:W$28,1)-1,0,2)))</f>
        <v>27.551091412810791</v>
      </c>
    </row>
    <row r="42" spans="2:32" s="29" customFormat="1" ht="15" x14ac:dyDescent="0.25">
      <c r="E42" s="129">
        <v>84</v>
      </c>
      <c r="F42" s="130">
        <f t="shared" ca="1" si="4"/>
        <v>70.547813078303321</v>
      </c>
      <c r="G42" s="127"/>
      <c r="H42" s="127"/>
      <c r="I42" s="127"/>
      <c r="J42" s="127"/>
      <c r="K42" s="127"/>
      <c r="L42" s="129">
        <v>84</v>
      </c>
      <c r="M42" s="130">
        <f t="shared" ca="1" si="5"/>
        <v>73.76879630727845</v>
      </c>
      <c r="N42" s="127"/>
      <c r="O42" s="127"/>
      <c r="P42" s="127"/>
      <c r="Q42" s="127"/>
      <c r="R42" s="127"/>
      <c r="S42" s="129">
        <v>84</v>
      </c>
      <c r="T42" s="130">
        <f t="shared" ca="1" si="6"/>
        <v>62.289270730331211</v>
      </c>
      <c r="U42" s="127"/>
      <c r="V42" s="131"/>
      <c r="W42" s="130">
        <f t="shared" ca="1" si="7"/>
        <v>69.186735476306666</v>
      </c>
    </row>
    <row r="43" spans="2:32" s="29" customFormat="1" ht="15" x14ac:dyDescent="0.25">
      <c r="E43" s="129">
        <v>90</v>
      </c>
      <c r="F43" s="130">
        <f ca="1">10^(FORECAST(E43,LOG(OFFSET(B$13:B$28,MATCH(E43,H$13:H$28,1)-1,0,2)),OFFSET(H$13:H$28,MATCH(E43,H$13:H$28,1)-1,0,2)))</f>
        <v>81.646754855558683</v>
      </c>
      <c r="G43" s="127"/>
      <c r="H43" s="127"/>
      <c r="I43" s="127"/>
      <c r="J43" s="127"/>
      <c r="K43" s="127"/>
      <c r="L43" s="129">
        <v>90</v>
      </c>
      <c r="M43" s="130">
        <f t="shared" ca="1" si="5"/>
        <v>87.479031217506915</v>
      </c>
      <c r="N43" s="127"/>
      <c r="O43" s="127"/>
      <c r="P43" s="127"/>
      <c r="Q43" s="127"/>
      <c r="R43" s="127"/>
      <c r="S43" s="129">
        <v>90</v>
      </c>
      <c r="T43" s="130">
        <f t="shared" ca="1" si="6"/>
        <v>77.345836034292248</v>
      </c>
      <c r="U43" s="127"/>
      <c r="V43" s="131"/>
      <c r="W43" s="130">
        <f t="shared" ca="1" si="7"/>
        <v>82.4459422963115</v>
      </c>
    </row>
    <row r="44" spans="2:32" s="29" customFormat="1" ht="15" x14ac:dyDescent="0.25">
      <c r="E44" s="132"/>
      <c r="F44" s="132"/>
      <c r="G44" s="127"/>
      <c r="H44" s="127"/>
      <c r="I44" s="127"/>
      <c r="J44" s="127"/>
      <c r="K44" s="127"/>
      <c r="L44" s="132"/>
      <c r="M44" s="132"/>
      <c r="N44" s="127"/>
      <c r="O44" s="127"/>
      <c r="P44" s="127"/>
      <c r="Q44" s="127"/>
      <c r="R44" s="127"/>
      <c r="S44" s="132"/>
      <c r="T44" s="132"/>
      <c r="U44" s="127"/>
      <c r="V44" s="127"/>
      <c r="W44" s="132"/>
    </row>
    <row r="45" spans="2:32" s="29" customFormat="1" ht="15" x14ac:dyDescent="0.25">
      <c r="E45" s="129" t="s">
        <v>140</v>
      </c>
      <c r="F45" s="130">
        <f ca="1">0.5*(F42/F41+F41/F40)</f>
        <v>2.7050548719645344</v>
      </c>
      <c r="G45" s="127"/>
      <c r="H45" s="127"/>
      <c r="I45" s="127"/>
      <c r="J45" s="127"/>
      <c r="K45" s="127"/>
      <c r="L45" s="129" t="s">
        <v>140</v>
      </c>
      <c r="M45" s="130">
        <f ca="1">0.5*(M42/M41+M41/M40)</f>
        <v>2.4110009243146591</v>
      </c>
      <c r="N45" s="127"/>
      <c r="O45" s="127"/>
      <c r="P45" s="127"/>
      <c r="Q45" s="127"/>
      <c r="R45" s="127"/>
      <c r="S45" s="129" t="s">
        <v>140</v>
      </c>
      <c r="T45" s="130">
        <f ca="1">0.5*(T42/T41+T41/T40)</f>
        <v>2.5137329923607448</v>
      </c>
      <c r="U45" s="127"/>
      <c r="V45" s="127"/>
      <c r="W45" s="130">
        <f ca="1">0.5*(W42/W41+W41/W40)</f>
        <v>2.5280301601454438</v>
      </c>
    </row>
    <row r="46" spans="2:32" s="29" customFormat="1" ht="15" x14ac:dyDescent="0.25">
      <c r="E46" s="132"/>
      <c r="F46" s="130"/>
      <c r="G46" s="127"/>
      <c r="H46" s="127"/>
      <c r="I46" s="127"/>
      <c r="J46" s="127"/>
      <c r="K46" s="127"/>
      <c r="L46" s="132"/>
      <c r="M46" s="130"/>
      <c r="N46" s="127"/>
      <c r="O46" s="127"/>
      <c r="P46" s="127"/>
      <c r="Q46" s="127"/>
      <c r="R46" s="127"/>
      <c r="S46" s="132"/>
      <c r="T46" s="130"/>
      <c r="U46" s="127"/>
      <c r="V46" s="127"/>
      <c r="W46" s="130"/>
    </row>
    <row r="47" spans="2:32" s="29" customFormat="1" ht="15" x14ac:dyDescent="0.25">
      <c r="E47" s="132" t="s">
        <v>141</v>
      </c>
      <c r="F47" s="130">
        <f>H12</f>
        <v>18</v>
      </c>
      <c r="G47" s="127"/>
      <c r="H47" s="127"/>
      <c r="I47" s="127"/>
      <c r="J47" s="127"/>
      <c r="K47" s="127"/>
      <c r="L47" s="132" t="s">
        <v>141</v>
      </c>
      <c r="M47" s="130">
        <f>O12</f>
        <v>20</v>
      </c>
      <c r="N47" s="127"/>
      <c r="O47" s="127"/>
      <c r="P47" s="127"/>
      <c r="Q47" s="127"/>
      <c r="R47" s="127"/>
      <c r="S47" s="132" t="s">
        <v>141</v>
      </c>
      <c r="T47" s="130">
        <f>V12</f>
        <v>25</v>
      </c>
      <c r="U47" s="127"/>
      <c r="V47" s="127"/>
      <c r="W47" s="130">
        <f>AVERAGE(T47,M47,F47)</f>
        <v>21</v>
      </c>
    </row>
    <row r="48" spans="2:32" s="29" customFormat="1" x14ac:dyDescent="0.2">
      <c r="H48" s="42"/>
    </row>
    <row r="49" spans="8:8" s="29" customFormat="1" x14ac:dyDescent="0.2">
      <c r="H49" s="42"/>
    </row>
    <row r="50" spans="8:8" s="29" customFormat="1" x14ac:dyDescent="0.2">
      <c r="H50" s="42"/>
    </row>
    <row r="51" spans="8:8" s="29" customFormat="1" x14ac:dyDescent="0.2">
      <c r="H51" s="42"/>
    </row>
    <row r="52" spans="8:8" s="29" customFormat="1" x14ac:dyDescent="0.2">
      <c r="H52" s="42"/>
    </row>
    <row r="53" spans="8:8" s="29" customFormat="1" x14ac:dyDescent="0.2">
      <c r="H53" s="42"/>
    </row>
    <row r="54" spans="8:8" s="29" customFormat="1" x14ac:dyDescent="0.2">
      <c r="H54" s="42"/>
    </row>
    <row r="55" spans="8:8" s="29" customFormat="1" x14ac:dyDescent="0.2">
      <c r="H55" s="42"/>
    </row>
    <row r="56" spans="8:8" s="29" customFormat="1" x14ac:dyDescent="0.2">
      <c r="H56" s="42"/>
    </row>
    <row r="57" spans="8:8" s="29" customFormat="1" x14ac:dyDescent="0.2">
      <c r="H57" s="42"/>
    </row>
    <row r="58" spans="8:8" s="29" customFormat="1" x14ac:dyDescent="0.2">
      <c r="H58" s="42"/>
    </row>
    <row r="59" spans="8:8" s="29" customFormat="1" x14ac:dyDescent="0.2">
      <c r="H59" s="42"/>
    </row>
    <row r="60" spans="8:8" s="29" customFormat="1" x14ac:dyDescent="0.2">
      <c r="H60" s="42"/>
    </row>
    <row r="61" spans="8:8" s="29" customFormat="1" x14ac:dyDescent="0.2">
      <c r="H61" s="42"/>
    </row>
    <row r="62" spans="8:8" s="29" customFormat="1" x14ac:dyDescent="0.2">
      <c r="H62" s="42"/>
    </row>
    <row r="63" spans="8:8" s="29" customFormat="1" x14ac:dyDescent="0.2">
      <c r="H63" s="42"/>
    </row>
    <row r="64" spans="8:8" s="29" customFormat="1" x14ac:dyDescent="0.2">
      <c r="H64" s="42"/>
    </row>
    <row r="65" spans="8:8" s="29" customFormat="1" x14ac:dyDescent="0.2">
      <c r="H65" s="42"/>
    </row>
    <row r="66" spans="8:8" s="29" customFormat="1" x14ac:dyDescent="0.2">
      <c r="H66" s="42"/>
    </row>
    <row r="67" spans="8:8" s="29" customFormat="1" x14ac:dyDescent="0.2">
      <c r="H67" s="42"/>
    </row>
    <row r="68" spans="8:8" s="29" customFormat="1" x14ac:dyDescent="0.2">
      <c r="H68" s="42"/>
    </row>
    <row r="69" spans="8:8" s="29" customFormat="1" x14ac:dyDescent="0.2">
      <c r="H69" s="42"/>
    </row>
    <row r="70" spans="8:8" s="29" customFormat="1" x14ac:dyDescent="0.2">
      <c r="H70" s="42"/>
    </row>
    <row r="71" spans="8:8" s="29" customFormat="1" x14ac:dyDescent="0.2">
      <c r="H71" s="42"/>
    </row>
    <row r="72" spans="8:8" s="29" customFormat="1" x14ac:dyDescent="0.2">
      <c r="H72" s="42"/>
    </row>
    <row r="73" spans="8:8" s="29" customFormat="1" x14ac:dyDescent="0.2">
      <c r="H73" s="42"/>
    </row>
    <row r="74" spans="8:8" s="29" customFormat="1" x14ac:dyDescent="0.2">
      <c r="H74" s="42"/>
    </row>
    <row r="75" spans="8:8" s="29" customFormat="1" x14ac:dyDescent="0.2">
      <c r="H75" s="42"/>
    </row>
    <row r="76" spans="8:8" s="29" customFormat="1" x14ac:dyDescent="0.2">
      <c r="H76" s="42"/>
    </row>
    <row r="77" spans="8:8" s="29" customFormat="1" x14ac:dyDescent="0.2">
      <c r="H77" s="42"/>
    </row>
    <row r="78" spans="8:8" s="29" customFormat="1" x14ac:dyDescent="0.2">
      <c r="H78" s="42"/>
    </row>
    <row r="79" spans="8:8" s="29" customFormat="1" x14ac:dyDescent="0.2">
      <c r="H79" s="42"/>
    </row>
    <row r="80" spans="8:8" s="29" customFormat="1" x14ac:dyDescent="0.2">
      <c r="H80" s="42"/>
    </row>
    <row r="81" spans="8:8" s="29" customFormat="1" x14ac:dyDescent="0.2">
      <c r="H81" s="42"/>
    </row>
    <row r="82" spans="8:8" s="29" customFormat="1" x14ac:dyDescent="0.2">
      <c r="H82" s="42"/>
    </row>
    <row r="83" spans="8:8" s="29" customFormat="1" x14ac:dyDescent="0.2">
      <c r="H83" s="42"/>
    </row>
    <row r="84" spans="8:8" s="29" customFormat="1" x14ac:dyDescent="0.2">
      <c r="H84" s="42"/>
    </row>
    <row r="85" spans="8:8" s="29" customFormat="1" x14ac:dyDescent="0.2">
      <c r="H85" s="42"/>
    </row>
    <row r="86" spans="8:8" s="29" customFormat="1" x14ac:dyDescent="0.2">
      <c r="H86" s="42"/>
    </row>
    <row r="87" spans="8:8" s="29" customFormat="1" x14ac:dyDescent="0.2">
      <c r="H87" s="42"/>
    </row>
    <row r="88" spans="8:8" s="29" customFormat="1" x14ac:dyDescent="0.2">
      <c r="H88" s="42"/>
    </row>
    <row r="89" spans="8:8" s="29" customFormat="1" x14ac:dyDescent="0.2">
      <c r="H89" s="42"/>
    </row>
    <row r="90" spans="8:8" s="29" customFormat="1" x14ac:dyDescent="0.2">
      <c r="H90" s="42"/>
    </row>
    <row r="91" spans="8:8" s="29" customFormat="1" x14ac:dyDescent="0.2">
      <c r="H91" s="42"/>
    </row>
    <row r="92" spans="8:8" s="29" customFormat="1" x14ac:dyDescent="0.2">
      <c r="H92" s="42"/>
    </row>
    <row r="93" spans="8:8" s="29" customFormat="1" x14ac:dyDescent="0.2">
      <c r="H93" s="42"/>
    </row>
    <row r="94" spans="8:8" s="29" customFormat="1" x14ac:dyDescent="0.2">
      <c r="H94" s="42"/>
    </row>
    <row r="95" spans="8:8" s="29" customFormat="1" x14ac:dyDescent="0.2">
      <c r="H95" s="42"/>
    </row>
    <row r="96" spans="8:8" s="29" customFormat="1" x14ac:dyDescent="0.2">
      <c r="H96" s="42"/>
    </row>
    <row r="97" spans="8:33" s="29" customFormat="1" x14ac:dyDescent="0.2">
      <c r="H97" s="42"/>
    </row>
    <row r="98" spans="8:33" x14ac:dyDescent="0.2">
      <c r="X98" s="29"/>
      <c r="Y98" s="29"/>
      <c r="Z98" s="29"/>
      <c r="AA98" s="29"/>
      <c r="AB98" s="29"/>
      <c r="AC98" s="29"/>
      <c r="AD98" s="29"/>
      <c r="AE98" s="29"/>
      <c r="AF98" s="29"/>
      <c r="AG98" s="29"/>
    </row>
    <row r="99" spans="8:33" x14ac:dyDescent="0.2">
      <c r="X99" s="29"/>
      <c r="Y99" s="29"/>
      <c r="Z99" s="29"/>
      <c r="AA99" s="29"/>
      <c r="AB99" s="29"/>
      <c r="AC99" s="29"/>
      <c r="AD99" s="29"/>
      <c r="AE99" s="29"/>
      <c r="AF99" s="29"/>
      <c r="AG99" s="29"/>
    </row>
  </sheetData>
  <mergeCells count="87">
    <mergeCell ref="B2:V2"/>
    <mergeCell ref="X2:AE2"/>
    <mergeCell ref="C10:H10"/>
    <mergeCell ref="C11:F11"/>
    <mergeCell ref="J11:M11"/>
    <mergeCell ref="Q11:T11"/>
    <mergeCell ref="C12:F12"/>
    <mergeCell ref="J12:M12"/>
    <mergeCell ref="Q12:T12"/>
    <mergeCell ref="C13:F13"/>
    <mergeCell ref="J13:M13"/>
    <mergeCell ref="Q13:T13"/>
    <mergeCell ref="C14:F14"/>
    <mergeCell ref="J14:M14"/>
    <mergeCell ref="Q14:T14"/>
    <mergeCell ref="C15:F15"/>
    <mergeCell ref="J15:M15"/>
    <mergeCell ref="Q15:T15"/>
    <mergeCell ref="C19:F19"/>
    <mergeCell ref="J19:M19"/>
    <mergeCell ref="Q19:T19"/>
    <mergeCell ref="Y19:AF19"/>
    <mergeCell ref="C16:F16"/>
    <mergeCell ref="J16:M16"/>
    <mergeCell ref="Q16:T16"/>
    <mergeCell ref="C17:F17"/>
    <mergeCell ref="J17:M17"/>
    <mergeCell ref="Q17:T17"/>
    <mergeCell ref="Y17:AF17"/>
    <mergeCell ref="C18:F18"/>
    <mergeCell ref="J18:M18"/>
    <mergeCell ref="Q18:T18"/>
    <mergeCell ref="Y18:AF18"/>
    <mergeCell ref="C20:F20"/>
    <mergeCell ref="J20:M20"/>
    <mergeCell ref="Q20:T20"/>
    <mergeCell ref="Y20:AF20"/>
    <mergeCell ref="C21:F21"/>
    <mergeCell ref="J21:M21"/>
    <mergeCell ref="Q21:T21"/>
    <mergeCell ref="Y21:AF21"/>
    <mergeCell ref="C22:F22"/>
    <mergeCell ref="J22:M22"/>
    <mergeCell ref="Q22:T22"/>
    <mergeCell ref="Y22:AF22"/>
    <mergeCell ref="C23:F23"/>
    <mergeCell ref="J23:M23"/>
    <mergeCell ref="Q23:T23"/>
    <mergeCell ref="Y23:AF23"/>
    <mergeCell ref="C24:F24"/>
    <mergeCell ref="J24:M24"/>
    <mergeCell ref="Q24:T24"/>
    <mergeCell ref="Y24:AF24"/>
    <mergeCell ref="C25:F25"/>
    <mergeCell ref="J25:M25"/>
    <mergeCell ref="Q25:T25"/>
    <mergeCell ref="Y25:AF25"/>
    <mergeCell ref="J30:O30"/>
    <mergeCell ref="Q30:V30"/>
    <mergeCell ref="Y30:AF30"/>
    <mergeCell ref="C26:F26"/>
    <mergeCell ref="J26:M26"/>
    <mergeCell ref="Q26:T26"/>
    <mergeCell ref="Y26:AF26"/>
    <mergeCell ref="C27:F27"/>
    <mergeCell ref="J27:M27"/>
    <mergeCell ref="Q27:T27"/>
    <mergeCell ref="Y27:AF27"/>
    <mergeCell ref="C28:F28"/>
    <mergeCell ref="J28:M28"/>
    <mergeCell ref="Q28:T28"/>
    <mergeCell ref="Y28:AF28"/>
    <mergeCell ref="Y29:AF29"/>
    <mergeCell ref="Z33:AB33"/>
    <mergeCell ref="U34:V34"/>
    <mergeCell ref="Z34:AB34"/>
    <mergeCell ref="N31:O31"/>
    <mergeCell ref="U31:V31"/>
    <mergeCell ref="N32:O32"/>
    <mergeCell ref="U32:V32"/>
    <mergeCell ref="N33:O33"/>
    <mergeCell ref="U33:V33"/>
    <mergeCell ref="C30:H30"/>
    <mergeCell ref="G31:H31"/>
    <mergeCell ref="G32:H32"/>
    <mergeCell ref="G33:H33"/>
    <mergeCell ref="G34:H3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J16" sqref="J16"/>
    </sheetView>
  </sheetViews>
  <sheetFormatPr defaultRowHeight="15" x14ac:dyDescent="0.25"/>
  <sheetData>
    <row r="6" spans="3:8" x14ac:dyDescent="0.25">
      <c r="C6" s="132"/>
      <c r="D6" s="183" t="s">
        <v>147</v>
      </c>
      <c r="E6" s="183"/>
      <c r="F6" s="183"/>
      <c r="G6" s="183"/>
      <c r="H6" s="129" t="s">
        <v>148</v>
      </c>
    </row>
    <row r="7" spans="3:8" x14ac:dyDescent="0.25">
      <c r="C7" s="132"/>
      <c r="D7" s="129" t="s">
        <v>27</v>
      </c>
      <c r="E7" s="129" t="s">
        <v>30</v>
      </c>
      <c r="F7" s="129" t="s">
        <v>31</v>
      </c>
      <c r="G7" s="129" t="s">
        <v>149</v>
      </c>
      <c r="H7" s="129" t="s">
        <v>150</v>
      </c>
    </row>
    <row r="8" spans="3:8" x14ac:dyDescent="0.25">
      <c r="C8" s="132" t="s">
        <v>151</v>
      </c>
      <c r="D8" s="130">
        <f ca="1">Surface!F40</f>
        <v>9.6843751777758893</v>
      </c>
      <c r="E8" s="130">
        <f ca="1">Surface!M40</f>
        <v>12.705159082791344</v>
      </c>
      <c r="F8" s="130">
        <f ca="1">Surface!T40</f>
        <v>9.8921748864974042</v>
      </c>
      <c r="G8" s="130">
        <f ca="1">Surface!W40</f>
        <v>10.826237501960399</v>
      </c>
      <c r="H8" s="130">
        <f ca="1">SubS!AE30</f>
        <v>0.74163372164726371</v>
      </c>
    </row>
    <row r="9" spans="3:8" x14ac:dyDescent="0.25">
      <c r="C9" s="132" t="s">
        <v>152</v>
      </c>
      <c r="D9" s="130">
        <f ca="1">Surface!F41</f>
        <v>27.945786690914385</v>
      </c>
      <c r="E9" s="130">
        <f ca="1">Surface!M41</f>
        <v>29.59083425351195</v>
      </c>
      <c r="F9" s="130">
        <f ca="1">Surface!T41</f>
        <v>23.39800894025802</v>
      </c>
      <c r="G9" s="130">
        <f ca="1">Surface!W41</f>
        <v>27.551091412810791</v>
      </c>
      <c r="H9" s="130">
        <f ca="1">SubS!AE31</f>
        <v>19.540008421382797</v>
      </c>
    </row>
    <row r="10" spans="3:8" x14ac:dyDescent="0.25">
      <c r="C10" s="132" t="s">
        <v>153</v>
      </c>
      <c r="D10" s="130">
        <f ca="1">Surface!F42</f>
        <v>70.547813078303321</v>
      </c>
      <c r="E10" s="130">
        <f ca="1">Surface!M42</f>
        <v>73.76879630727845</v>
      </c>
      <c r="F10" s="130">
        <f ca="1">Surface!T42</f>
        <v>62.289270730331211</v>
      </c>
      <c r="G10" s="130">
        <f ca="1">Surface!W42</f>
        <v>69.186735476306666</v>
      </c>
      <c r="H10" s="130">
        <f ca="1">SubS!AE32</f>
        <v>64.705680260140838</v>
      </c>
    </row>
    <row r="11" spans="3:8" x14ac:dyDescent="0.25">
      <c r="C11" s="132" t="s">
        <v>154</v>
      </c>
      <c r="D11" s="130">
        <f ca="1">Surface!F43</f>
        <v>81.646754855558683</v>
      </c>
      <c r="E11" s="130">
        <f ca="1">Surface!M43</f>
        <v>87.479031217506915</v>
      </c>
      <c r="F11" s="130">
        <f ca="1">Surface!T43</f>
        <v>77.345836034292248</v>
      </c>
      <c r="G11" s="130">
        <f ca="1">Surface!W43</f>
        <v>82.4459422963115</v>
      </c>
      <c r="H11" s="130">
        <f ca="1">SubS!AE33</f>
        <v>86.362082852512557</v>
      </c>
    </row>
    <row r="12" spans="3:8" x14ac:dyDescent="0.25">
      <c r="C12" s="132"/>
      <c r="D12" s="130"/>
      <c r="E12" s="130"/>
      <c r="F12" s="130"/>
      <c r="G12" s="130"/>
      <c r="H12" s="130"/>
    </row>
    <row r="13" spans="3:8" x14ac:dyDescent="0.25">
      <c r="C13" s="132" t="s">
        <v>155</v>
      </c>
      <c r="D13" s="130">
        <f ca="1">Surface!F45</f>
        <v>2.7050548719645344</v>
      </c>
      <c r="E13" s="130">
        <f ca="1">Surface!M45</f>
        <v>2.4110009243146591</v>
      </c>
      <c r="F13" s="130">
        <f ca="1">Surface!T45</f>
        <v>2.5137329923607448</v>
      </c>
      <c r="G13" s="130">
        <f ca="1">Surface!W45</f>
        <v>2.5280301601454438</v>
      </c>
      <c r="H13" s="130">
        <f ca="1">SubS!AE35</f>
        <v>14.829347497787765</v>
      </c>
    </row>
    <row r="14" spans="3:8" x14ac:dyDescent="0.25">
      <c r="C14" s="132" t="s">
        <v>156</v>
      </c>
      <c r="D14" s="130">
        <f>Surface!F47</f>
        <v>18</v>
      </c>
      <c r="E14" s="130">
        <f>Surface!M47</f>
        <v>20</v>
      </c>
      <c r="F14" s="130">
        <f>Surface!T47</f>
        <v>25</v>
      </c>
      <c r="G14" s="130">
        <f>Surface!W47</f>
        <v>21</v>
      </c>
      <c r="H14" s="132"/>
    </row>
    <row r="15" spans="3:8" x14ac:dyDescent="0.25">
      <c r="C15" s="132"/>
      <c r="D15" s="132"/>
      <c r="E15" s="132"/>
      <c r="F15" s="132"/>
      <c r="G15" s="132"/>
      <c r="H15" s="132"/>
    </row>
    <row r="16" spans="3:8" x14ac:dyDescent="0.25">
      <c r="C16" s="132" t="s">
        <v>157</v>
      </c>
      <c r="D16" s="132"/>
      <c r="E16" s="132"/>
      <c r="F16" s="132"/>
      <c r="G16" s="132"/>
      <c r="H16" s="130">
        <f>SubS!AE36</f>
        <v>74.742863474998899</v>
      </c>
    </row>
    <row r="17" spans="3:8" x14ac:dyDescent="0.25">
      <c r="C17" s="132" t="s">
        <v>158</v>
      </c>
      <c r="D17" s="132"/>
      <c r="E17" s="132"/>
      <c r="F17" s="132"/>
      <c r="G17" s="132"/>
      <c r="H17" s="130">
        <f>SubS!AE37</f>
        <v>24.82904946525532</v>
      </c>
    </row>
    <row r="18" spans="3:8" x14ac:dyDescent="0.25">
      <c r="C18" s="132" t="s">
        <v>159</v>
      </c>
      <c r="D18" s="132"/>
      <c r="E18" s="132"/>
      <c r="F18" s="132"/>
      <c r="G18" s="132"/>
      <c r="H18" s="130">
        <f>SubS!AE38</f>
        <v>0.42808705974578143</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workbookViewId="0">
      <selection activeCell="A6" sqref="A6"/>
    </sheetView>
  </sheetViews>
  <sheetFormatPr defaultRowHeight="15" x14ac:dyDescent="0.25"/>
  <sheetData>
    <row r="1" spans="1:1" x14ac:dyDescent="0.25">
      <c r="A1" s="145" t="s">
        <v>161</v>
      </c>
    </row>
    <row r="2" spans="1:1" x14ac:dyDescent="0.25">
      <c r="A2" s="145"/>
    </row>
    <row r="3" spans="1:1" x14ac:dyDescent="0.25">
      <c r="A3" s="145" t="s">
        <v>164</v>
      </c>
    </row>
    <row r="4" spans="1:1" x14ac:dyDescent="0.25">
      <c r="A4" s="145"/>
    </row>
    <row r="5" spans="1:1" x14ac:dyDescent="0.25">
      <c r="A5" s="145" t="s">
        <v>165</v>
      </c>
    </row>
    <row r="6" spans="1:1" x14ac:dyDescent="0.25">
      <c r="A6" s="145"/>
    </row>
    <row r="7" spans="1:1" x14ac:dyDescent="0.25">
      <c r="A7" s="145" t="s">
        <v>162</v>
      </c>
    </row>
    <row r="8" spans="1:1" x14ac:dyDescent="0.25">
      <c r="A8" s="145"/>
    </row>
    <row r="9" spans="1:1" x14ac:dyDescent="0.25">
      <c r="A9" s="145" t="s">
        <v>163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SubS</vt:lpstr>
      <vt:lpstr>Surface</vt:lpstr>
      <vt:lpstr>Summary</vt:lpstr>
      <vt:lpstr>readme</vt:lpstr>
      <vt:lpstr>Dist Chart</vt:lpstr>
    </vt:vector>
  </TitlesOfParts>
  <Company>Tetra Tech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Vandermause, Renee</cp:lastModifiedBy>
  <dcterms:created xsi:type="dcterms:W3CDTF">2013-09-27T20:54:34Z</dcterms:created>
  <dcterms:modified xsi:type="dcterms:W3CDTF">2014-01-22T01:18:33Z</dcterms:modified>
</cp:coreProperties>
</file>