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D14" i="3" l="1"/>
  <c r="E14" i="3"/>
  <c r="F14" i="3"/>
  <c r="G14" i="3"/>
  <c r="H18" i="3" l="1"/>
  <c r="H17" i="3"/>
  <c r="H16" i="3"/>
  <c r="V14" i="2"/>
  <c r="O14" i="2"/>
  <c r="O15" i="2" s="1"/>
  <c r="O16" i="2" s="1"/>
  <c r="O17" i="2" s="1"/>
  <c r="O18" i="2" s="1"/>
  <c r="O19" i="2" s="1"/>
  <c r="O20" i="2" s="1"/>
  <c r="H14" i="2"/>
  <c r="H15" i="2" s="1"/>
  <c r="H16" i="2" s="1"/>
  <c r="H17" i="2" s="1"/>
  <c r="H18" i="2" s="1"/>
  <c r="H19" i="2" s="1"/>
  <c r="H20" i="2" s="1"/>
  <c r="W13" i="2"/>
  <c r="V12" i="2"/>
  <c r="T47" i="2" s="1"/>
  <c r="O12" i="2"/>
  <c r="M47" i="2" s="1"/>
  <c r="H12" i="2"/>
  <c r="F47" i="2" s="1"/>
  <c r="AE26" i="1"/>
  <c r="AE17" i="1"/>
  <c r="AF17" i="1" s="1"/>
  <c r="AE16" i="1"/>
  <c r="AF16" i="1" s="1"/>
  <c r="AF15" i="1"/>
  <c r="AE15" i="1"/>
  <c r="AF14" i="1"/>
  <c r="AE14" i="1"/>
  <c r="AE13" i="1"/>
  <c r="AF13" i="1" s="1"/>
  <c r="AE12" i="1"/>
  <c r="AF12" i="1" s="1"/>
  <c r="AF11" i="1"/>
  <c r="AE11" i="1"/>
  <c r="AE10" i="1"/>
  <c r="AF10" i="1" s="1"/>
  <c r="AE9" i="1"/>
  <c r="AF9" i="1" s="1"/>
  <c r="AE8" i="1"/>
  <c r="AE27" i="1" s="1"/>
  <c r="AH3" i="1"/>
  <c r="AF4" i="1" s="1"/>
  <c r="AF2" i="1"/>
  <c r="H42" i="1"/>
  <c r="H41" i="1"/>
  <c r="H40" i="1"/>
  <c r="H39" i="1"/>
  <c r="H38" i="1"/>
  <c r="H37" i="1"/>
  <c r="H36" i="1"/>
  <c r="H35" i="1"/>
  <c r="H34" i="1"/>
  <c r="H33" i="1"/>
  <c r="H32" i="1"/>
  <c r="H31" i="1"/>
  <c r="I31" i="1" s="1"/>
  <c r="I32" i="1" s="1"/>
  <c r="I30" i="1"/>
  <c r="H30" i="1"/>
  <c r="E20" i="1"/>
  <c r="E19" i="1"/>
  <c r="E18" i="1"/>
  <c r="E17" i="1"/>
  <c r="E24" i="1" s="1"/>
  <c r="E16" i="1"/>
  <c r="E15" i="1"/>
  <c r="E14" i="1"/>
  <c r="G41" i="1"/>
  <c r="W14" i="2" l="1"/>
  <c r="M40" i="2"/>
  <c r="E8" i="3" s="1"/>
  <c r="O21" i="2"/>
  <c r="O22" i="2" s="1"/>
  <c r="O23" i="2" s="1"/>
  <c r="O24" i="2" s="1"/>
  <c r="O25" i="2" s="1"/>
  <c r="O26" i="2" s="1"/>
  <c r="O27" i="2" s="1"/>
  <c r="O28" i="2" s="1"/>
  <c r="F42" i="2"/>
  <c r="D10" i="3" s="1"/>
  <c r="F41" i="2"/>
  <c r="D9" i="3" s="1"/>
  <c r="F40" i="2"/>
  <c r="D8" i="3" s="1"/>
  <c r="H21" i="2"/>
  <c r="H22" i="2" s="1"/>
  <c r="H23" i="2" s="1"/>
  <c r="H24" i="2" s="1"/>
  <c r="H25" i="2" s="1"/>
  <c r="H26" i="2" s="1"/>
  <c r="W47" i="2"/>
  <c r="V15" i="2"/>
  <c r="AF26" i="1"/>
  <c r="AF8" i="1"/>
  <c r="I33" i="1"/>
  <c r="I34" i="1" s="1"/>
  <c r="I35" i="1" s="1"/>
  <c r="I36" i="1" s="1"/>
  <c r="I37" i="1" s="1"/>
  <c r="I38" i="1" s="1"/>
  <c r="I39" i="1" s="1"/>
  <c r="I40" i="1" s="1"/>
  <c r="I41" i="1" s="1"/>
  <c r="M42" i="2" l="1"/>
  <c r="E10" i="3" s="1"/>
  <c r="M41" i="2"/>
  <c r="E9" i="3" s="1"/>
  <c r="W15" i="2"/>
  <c r="V16" i="2"/>
  <c r="F43" i="2"/>
  <c r="D11" i="3" s="1"/>
  <c r="F45" i="2"/>
  <c r="D13" i="3" s="1"/>
  <c r="H27" i="2"/>
  <c r="M43" i="2"/>
  <c r="E11" i="3" s="1"/>
  <c r="AF27" i="1"/>
  <c r="AG8" i="1"/>
  <c r="F41" i="1"/>
  <c r="D41" i="1"/>
  <c r="C41" i="1"/>
  <c r="D24" i="1"/>
  <c r="C24" i="1"/>
  <c r="M45" i="2" l="1"/>
  <c r="E13" i="3" s="1"/>
  <c r="H28" i="2"/>
  <c r="W16" i="2"/>
  <c r="V17" i="2"/>
  <c r="AH8" i="1"/>
  <c r="AK8" i="1" s="1"/>
  <c r="AG9" i="1"/>
  <c r="H45" i="1"/>
  <c r="W17" i="2" l="1"/>
  <c r="V18" i="2"/>
  <c r="AH9" i="1"/>
  <c r="AK9" i="1" s="1"/>
  <c r="AG10" i="1"/>
  <c r="W18" i="2" l="1"/>
  <c r="V19" i="2"/>
  <c r="AH10" i="1"/>
  <c r="AK10" i="1" s="1"/>
  <c r="AG11" i="1"/>
  <c r="W19" i="2" l="1"/>
  <c r="V20" i="2"/>
  <c r="AH11" i="1"/>
  <c r="AK11" i="1" s="1"/>
  <c r="AG12" i="1"/>
  <c r="W20" i="2" l="1"/>
  <c r="V21" i="2"/>
  <c r="AH12" i="1"/>
  <c r="AK12" i="1" s="1"/>
  <c r="AG13" i="1"/>
  <c r="W40" i="2" l="1"/>
  <c r="G8" i="3" s="1"/>
  <c r="W21" i="2"/>
  <c r="V22" i="2"/>
  <c r="AG14" i="1"/>
  <c r="AH13" i="1"/>
  <c r="AK13" i="1" s="1"/>
  <c r="AE33" i="1" s="1"/>
  <c r="H11" i="3" s="1"/>
  <c r="AE32" i="1"/>
  <c r="H10" i="3" s="1"/>
  <c r="W22" i="2" l="1"/>
  <c r="V23" i="2"/>
  <c r="AH14" i="1"/>
  <c r="AK14" i="1" s="1"/>
  <c r="AG15" i="1"/>
  <c r="W23" i="2" l="1"/>
  <c r="V24" i="2"/>
  <c r="AH15" i="1"/>
  <c r="AK15" i="1" s="1"/>
  <c r="AG16" i="1"/>
  <c r="W24" i="2" l="1"/>
  <c r="V25" i="2"/>
  <c r="T40" i="2"/>
  <c r="F8" i="3" s="1"/>
  <c r="T41" i="2"/>
  <c r="F9" i="3" s="1"/>
  <c r="AH16" i="1"/>
  <c r="AK16" i="1" s="1"/>
  <c r="AG17" i="1"/>
  <c r="AH17" i="1" s="1"/>
  <c r="W25" i="2" l="1"/>
  <c r="V26" i="2"/>
  <c r="W42" i="2"/>
  <c r="G10" i="3" s="1"/>
  <c r="W41" i="2"/>
  <c r="G9" i="3" s="1"/>
  <c r="AK17" i="1"/>
  <c r="AJ25" i="1"/>
  <c r="AK25" i="1" s="1"/>
  <c r="AJ23" i="1"/>
  <c r="AK23" i="1" s="1"/>
  <c r="AJ21" i="1"/>
  <c r="AK21" i="1" s="1"/>
  <c r="AJ19" i="1"/>
  <c r="AK19" i="1" s="1"/>
  <c r="AJ17" i="1"/>
  <c r="AJ24" i="1"/>
  <c r="AK24" i="1" s="1"/>
  <c r="AJ22" i="1"/>
  <c r="AK22" i="1" s="1"/>
  <c r="AJ20" i="1"/>
  <c r="AK20" i="1" s="1"/>
  <c r="AJ18" i="1"/>
  <c r="AK18" i="1" s="1"/>
  <c r="V27" i="2" l="1"/>
  <c r="W26" i="2"/>
  <c r="W43" i="2" s="1"/>
  <c r="G11" i="3" s="1"/>
  <c r="T43" i="2"/>
  <c r="F11" i="3" s="1"/>
  <c r="T42" i="2"/>
  <c r="W45" i="2"/>
  <c r="G13" i="3" s="1"/>
  <c r="AE38" i="1"/>
  <c r="AE30" i="1"/>
  <c r="H8" i="3" s="1"/>
  <c r="AE31" i="1"/>
  <c r="H9" i="3" s="1"/>
  <c r="AE37" i="1"/>
  <c r="AE36" i="1"/>
  <c r="T45" i="2" l="1"/>
  <c r="F13" i="3" s="1"/>
  <c r="F10" i="3"/>
  <c r="AE35" i="1"/>
  <c r="H13" i="3" s="1"/>
  <c r="V28" i="2"/>
  <c r="W28" i="2" s="1"/>
  <c r="W27" i="2"/>
</calcChain>
</file>

<file path=xl/sharedStrings.xml><?xml version="1.0" encoding="utf-8"?>
<sst xmlns="http://schemas.openxmlformats.org/spreadsheetml/2006/main" count="214" uniqueCount="157">
  <si>
    <t>Pebble Count Data Sheet</t>
  </si>
  <si>
    <t>River / Tributary:</t>
  </si>
  <si>
    <t>Talkeetna</t>
  </si>
  <si>
    <t>Crew:</t>
  </si>
  <si>
    <t>RV, BT, MP, AK, KD, GW</t>
  </si>
  <si>
    <t>Talkeetna River</t>
  </si>
  <si>
    <t xml:space="preserve">  Crew:</t>
  </si>
  <si>
    <t>KD, GW</t>
  </si>
  <si>
    <t xml:space="preserve">Site: </t>
  </si>
  <si>
    <t>TK 4</t>
  </si>
  <si>
    <t xml:space="preserve">PRM: </t>
  </si>
  <si>
    <t xml:space="preserve">  PRM: </t>
  </si>
  <si>
    <t>Date / Time:</t>
  </si>
  <si>
    <t>Length &amp; Interval:</t>
  </si>
  <si>
    <t>100' tape, 1' interval</t>
  </si>
  <si>
    <t>Field Book #</t>
  </si>
  <si>
    <t>RAV-Susitna-01</t>
  </si>
  <si>
    <t>RAV Susitna-01</t>
  </si>
  <si>
    <t>Comments:</t>
  </si>
  <si>
    <t>Substrate not as embedded in silt as upstream samples- did not need to dig as many out</t>
  </si>
  <si>
    <t>Waypoint(s):</t>
  </si>
  <si>
    <t>GPS 1</t>
  </si>
  <si>
    <t>Additional Comments</t>
  </si>
  <si>
    <t>Photo(s) #</t>
  </si>
  <si>
    <t>On next page</t>
  </si>
  <si>
    <t>Size (mm)</t>
  </si>
  <si>
    <t>Left</t>
  </si>
  <si>
    <t>Sum</t>
  </si>
  <si>
    <t xml:space="preserve">Cum % </t>
  </si>
  <si>
    <t>Center</t>
  </si>
  <si>
    <t>Right</t>
  </si>
  <si>
    <t>Cum Ave</t>
  </si>
  <si>
    <t>&lt; 2</t>
  </si>
  <si>
    <t>Photo Log</t>
  </si>
  <si>
    <t>Photo #</t>
  </si>
  <si>
    <t>Description</t>
  </si>
  <si>
    <t>U/S veiw from D/S end of PC lines</t>
  </si>
  <si>
    <t>Sample location</t>
  </si>
  <si>
    <t>D/S view of PC lines</t>
  </si>
  <si>
    <t>D/S view of side bar from head</t>
  </si>
  <si>
    <t>D/S view- gravel population</t>
  </si>
  <si>
    <t>U/S view of head of bar</t>
  </si>
  <si>
    <t>Sample hole</t>
  </si>
  <si>
    <t>L. Bank</t>
  </si>
  <si>
    <t>RAV Susitna-01 field book notes</t>
  </si>
  <si>
    <t>LEFT  COUNT</t>
  </si>
  <si>
    <t>CENTER  COUNT</t>
  </si>
  <si>
    <t>RIGHT  COUNT</t>
  </si>
  <si>
    <t>QC1______________</t>
  </si>
  <si>
    <t>RAV</t>
  </si>
  <si>
    <t>Photo Backup_____________</t>
  </si>
  <si>
    <t>QC1__________RAV____</t>
  </si>
  <si>
    <t>Page __2___ of ____2__</t>
  </si>
  <si>
    <t>Results Analysis</t>
  </si>
  <si>
    <t>Field Sieve Data Sheet</t>
  </si>
  <si>
    <t>Wet -16 mm Weight</t>
  </si>
  <si>
    <t>lbs</t>
  </si>
  <si>
    <t>River:</t>
  </si>
  <si>
    <t>BT, MP, AK, RV, GW, KD</t>
  </si>
  <si>
    <t>Dry -16 mm Weight</t>
  </si>
  <si>
    <t>g  =</t>
  </si>
  <si>
    <t xml:space="preserve">  PRM:</t>
  </si>
  <si>
    <t>% Moisture</t>
  </si>
  <si>
    <t xml:space="preserve">  Comments:</t>
  </si>
  <si>
    <t>Wt~1.1-1.2' from surface</t>
  </si>
  <si>
    <t>Sample Location:</t>
  </si>
  <si>
    <t>TK4</t>
  </si>
  <si>
    <t>Field Sieve Results</t>
  </si>
  <si>
    <t>Surface/Sub     Subsurface       Bank      Trib Fan      Trib Chan</t>
  </si>
  <si>
    <t>Raw</t>
  </si>
  <si>
    <t>Adjusted for Moisture</t>
  </si>
  <si>
    <t>Cumulative Weight</t>
  </si>
  <si>
    <t>% Finer Field</t>
  </si>
  <si>
    <t>%Finer Lab</t>
  </si>
  <si>
    <t>Adjusted % Finer Lab</t>
  </si>
  <si>
    <t>Compiled Resuts</t>
  </si>
  <si>
    <r>
      <t xml:space="preserve"> Estimated D</t>
    </r>
    <r>
      <rPr>
        <vertAlign val="subscript"/>
        <sz val="11"/>
        <color theme="1"/>
        <rFont val="Arial"/>
        <family val="2"/>
      </rPr>
      <t>max</t>
    </r>
    <r>
      <rPr>
        <sz val="11"/>
        <color theme="1"/>
        <rFont val="Arial"/>
        <family val="2"/>
      </rPr>
      <t xml:space="preserve"> (mm)</t>
    </r>
  </si>
  <si>
    <t>Sample Depth (ft)</t>
  </si>
  <si>
    <t>Total Sample Weight</t>
  </si>
  <si>
    <t>(1)</t>
  </si>
  <si>
    <t>(2)</t>
  </si>
  <si>
    <t>(3)</t>
  </si>
  <si>
    <t>(4)</t>
  </si>
  <si>
    <t>Wt of the Sample (lbs)</t>
  </si>
  <si>
    <t>Bucket #</t>
  </si>
  <si>
    <t>Bucket Wt (lbs)</t>
  </si>
  <si>
    <t>Bucket + Sample (lbs)</t>
  </si>
  <si>
    <t>Sample Wt   (lbs)</t>
  </si>
  <si>
    <t>Col 3 - Col 2</t>
  </si>
  <si>
    <t xml:space="preserve">  </t>
  </si>
  <si>
    <t>Number</t>
  </si>
  <si>
    <t>U/S view from D/S of end of PC lines</t>
  </si>
  <si>
    <t>D/S view from PC lines</t>
  </si>
  <si>
    <t>D/S view of side bar with small side chan. Visible</t>
  </si>
  <si>
    <t>D/S view - gravel populations</t>
  </si>
  <si>
    <t>Totals</t>
  </si>
  <si>
    <t>RAV Susitna-01 field notes with updated site name</t>
  </si>
  <si>
    <t>Retained Weight</t>
  </si>
  <si>
    <t>Additional Photos in Field Book #___________</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</si>
  <si>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</si>
  <si>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</si>
  <si>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</si>
  <si>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</si>
  <si>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</si>
  <si>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</si>
  <si>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</si>
  <si>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</si>
  <si>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</si>
  <si>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</si>
  <si>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</si>
  <si>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</si>
  <si>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</si>
  <si>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</si>
  <si>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</si>
  <si>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</si>
  <si>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</si>
  <si>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</si>
  <si>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</si>
  <si>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</si>
  <si>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</si>
  <si>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</si>
  <si>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</si>
  <si>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</si>
  <si>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</si>
  <si>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462.6-462.0</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</si>
  <si>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</si>
  <si>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</si>
  <si>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</si>
  <si>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</si>
  <si>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</si>
  <si>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</si>
  <si>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</si>
  <si>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D%</t>
  </si>
  <si>
    <t>Gr</t>
  </si>
  <si>
    <t>%Gravel</t>
  </si>
  <si>
    <t>%Sand</t>
  </si>
  <si>
    <t>%Silt/Clay</t>
  </si>
  <si>
    <t>Average</t>
  </si>
  <si>
    <t>Page _1____ of ___2___</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</si>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</sst>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vertical="center" wrapText="1"/>
    </xf>
    <xf numFmtId="164" fontId="2" fillId="0" borderId="4" xfId="0" applyNumberFormat="1" applyFont="1" applyFill="1" applyBorder="1"/>
    <xf numFmtId="0" fontId="2" fillId="0" borderId="4" xfId="0" applyFont="1" applyFill="1" applyBorder="1" applyAlignment="1">
      <alignment horizontal="right"/>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xf>
    <xf numFmtId="0" fontId="2" fillId="0" borderId="4" xfId="0" applyFont="1" applyFill="1" applyBorder="1" applyAlignment="1">
      <alignment horizontal="right" vertical="center" wrapText="1"/>
    </xf>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0" fontId="2" fillId="0" borderId="2" xfId="0" quotePrefix="1" applyFont="1" applyBorder="1" applyAlignment="1">
      <alignment horizontal="right"/>
    </xf>
    <xf numFmtId="164" fontId="2" fillId="0" borderId="4" xfId="0" applyNumberFormat="1" applyFont="1" applyBorder="1"/>
    <xf numFmtId="0" fontId="2" fillId="0" borderId="29" xfId="0" quotePrefix="1" applyFont="1" applyBorder="1" applyAlignment="1">
      <alignment horizontal="center"/>
    </xf>
    <xf numFmtId="164" fontId="2" fillId="0" borderId="1" xfId="0" applyNumberFormat="1" applyFont="1" applyBorder="1"/>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vertical="center"/>
    </xf>
    <xf numFmtId="0" fontId="2" fillId="2" borderId="4" xfId="0" applyFont="1" applyFill="1" applyBorder="1"/>
    <xf numFmtId="0" fontId="2" fillId="0" borderId="0" xfId="0" applyFont="1" applyBorder="1" applyAlignment="1"/>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11" fillId="0" borderId="0" xfId="0" applyFont="1" applyBorder="1" applyAlignment="1">
      <alignment vertical="center"/>
    </xf>
    <xf numFmtId="0" fontId="2" fillId="0" borderId="4" xfId="0" applyFont="1" applyFill="1" applyBorder="1" applyAlignment="1">
      <alignment horizontal="center" vertical="center" wrapText="1"/>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0" fillId="0" borderId="0" xfId="0" applyFont="1"/>
    <xf numFmtId="0" fontId="14" fillId="0" borderId="0" xfId="0"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1"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horizontal="left" vertical="top" wrapText="1"/>
    </xf>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43" fontId="2" fillId="0" borderId="4" xfId="0" applyNumberFormat="1" applyFont="1" applyBorder="1"/>
    <xf numFmtId="0" fontId="2" fillId="0" borderId="0" xfId="0" applyFont="1" applyFill="1" applyBorder="1" applyAlignment="1">
      <alignment horizontal="center"/>
    </xf>
    <xf numFmtId="164" fontId="2" fillId="5" borderId="4"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4" xfId="0" applyFont="1" applyFill="1" applyBorder="1"/>
    <xf numFmtId="0" fontId="2" fillId="5" borderId="31" xfId="0" applyFont="1" applyFill="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5" xfId="0" quotePrefix="1" applyFont="1" applyFill="1" applyBorder="1" applyAlignment="1">
      <alignment horizontal="center" vertical="center"/>
    </xf>
    <xf numFmtId="0" fontId="2" fillId="0" borderId="8" xfId="0" applyFont="1" applyFill="1" applyBorder="1" applyAlignment="1">
      <alignment horizontal="right" vertical="center" wrapText="1"/>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0" borderId="8" xfId="0" applyFont="1" applyFill="1" applyBorder="1" applyAlignment="1">
      <alignment horizontal="right"/>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0" borderId="4" xfId="0" applyFont="1" applyFill="1" applyBorder="1" applyAlignment="1"/>
    <xf numFmtId="0" fontId="2" fillId="5" borderId="10" xfId="0" applyFont="1" applyFill="1" applyBorder="1" applyAlignment="1">
      <alignment horizontal="center" vertical="center"/>
    </xf>
    <xf numFmtId="164" fontId="2" fillId="5" borderId="10" xfId="0" quotePrefix="1" applyNumberFormat="1" applyFont="1" applyFill="1" applyBorder="1" applyAlignment="1">
      <alignment horizontal="center" vertical="center"/>
    </xf>
    <xf numFmtId="0" fontId="2" fillId="0" borderId="4" xfId="0" quotePrefix="1" applyFont="1" applyFill="1" applyBorder="1" applyAlignment="1"/>
    <xf numFmtId="0" fontId="2" fillId="5" borderId="14" xfId="0" applyFont="1" applyFill="1" applyBorder="1" applyAlignment="1">
      <alignment horizontal="center" vertical="center"/>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16" fillId="0" borderId="0" xfId="0" applyFont="1" applyBorder="1" applyAlignment="1">
      <alignment horizontal="center"/>
    </xf>
    <xf numFmtId="0" fontId="15" fillId="0" borderId="0" xfId="0" applyFont="1" applyAlignment="1">
      <alignment horizontal="center" vertical="top" wrapText="1"/>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18" fillId="0" borderId="0" xfId="0" applyFont="1" applyAlignment="1">
      <alignment horizontal="center" vertical="top"/>
    </xf>
    <xf numFmtId="0" fontId="9" fillId="0" borderId="24" xfId="0" applyFont="1" applyFill="1" applyBorder="1" applyAlignment="1">
      <alignment horizontal="center"/>
    </xf>
    <xf numFmtId="0" fontId="9" fillId="0" borderId="25"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3" xfId="0" applyFont="1" applyFill="1" applyBorder="1" applyAlignment="1">
      <alignment horizontal="center"/>
    </xf>
    <xf numFmtId="0" fontId="9" fillId="0" borderId="22"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TK 4</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1</c:v>
                </c:pt>
                <c:pt idx="4">
                  <c:v>6</c:v>
                </c:pt>
                <c:pt idx="5">
                  <c:v>9</c:v>
                </c:pt>
                <c:pt idx="6">
                  <c:v>15</c:v>
                </c:pt>
                <c:pt idx="7">
                  <c:v>24</c:v>
                </c:pt>
                <c:pt idx="8">
                  <c:v>35</c:v>
                </c:pt>
                <c:pt idx="9">
                  <c:v>47</c:v>
                </c:pt>
                <c:pt idx="10">
                  <c:v>73</c:v>
                </c:pt>
                <c:pt idx="11">
                  <c:v>89</c:v>
                </c:pt>
                <c:pt idx="12">
                  <c:v>99</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2</c:v>
                </c:pt>
                <c:pt idx="3">
                  <c:v>2</c:v>
                </c:pt>
                <c:pt idx="4">
                  <c:v>5</c:v>
                </c:pt>
                <c:pt idx="5">
                  <c:v>8</c:v>
                </c:pt>
                <c:pt idx="6">
                  <c:v>13</c:v>
                </c:pt>
                <c:pt idx="7">
                  <c:v>24</c:v>
                </c:pt>
                <c:pt idx="8">
                  <c:v>40</c:v>
                </c:pt>
                <c:pt idx="9">
                  <c:v>60</c:v>
                </c:pt>
                <c:pt idx="10">
                  <c:v>76</c:v>
                </c:pt>
                <c:pt idx="11">
                  <c:v>90</c:v>
                </c:pt>
                <c:pt idx="12">
                  <c:v>100</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1</c:v>
                </c:pt>
                <c:pt idx="3">
                  <c:v>2</c:v>
                </c:pt>
                <c:pt idx="4">
                  <c:v>6</c:v>
                </c:pt>
                <c:pt idx="5">
                  <c:v>15</c:v>
                </c:pt>
                <c:pt idx="6">
                  <c:v>25</c:v>
                </c:pt>
                <c:pt idx="7">
                  <c:v>33</c:v>
                </c:pt>
                <c:pt idx="8">
                  <c:v>44</c:v>
                </c:pt>
                <c:pt idx="9">
                  <c:v>62</c:v>
                </c:pt>
                <c:pt idx="10">
                  <c:v>80</c:v>
                </c:pt>
                <c:pt idx="11">
                  <c:v>94</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1</c:v>
                </c:pt>
                <c:pt idx="3">
                  <c:v>1.6666666666666667</c:v>
                </c:pt>
                <c:pt idx="4">
                  <c:v>5.666666666666667</c:v>
                </c:pt>
                <c:pt idx="5">
                  <c:v>10.666666666666666</c:v>
                </c:pt>
                <c:pt idx="6">
                  <c:v>17.666666666666668</c:v>
                </c:pt>
                <c:pt idx="7">
                  <c:v>27</c:v>
                </c:pt>
                <c:pt idx="8">
                  <c:v>39.666666666666664</c:v>
                </c:pt>
                <c:pt idx="9">
                  <c:v>56.333333333333336</c:v>
                </c:pt>
                <c:pt idx="10">
                  <c:v>76.333333333333329</c:v>
                </c:pt>
                <c:pt idx="11">
                  <c:v>91</c:v>
                </c:pt>
                <c:pt idx="12">
                  <c:v>99.666666666666671</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96.491327959873104</c:v>
                </c:pt>
                <c:pt idx="4">
                  <c:v>96.491327959873104</c:v>
                </c:pt>
                <c:pt idx="5">
                  <c:v>78.501003168139675</c:v>
                </c:pt>
                <c:pt idx="6">
                  <c:v>65.829557010483967</c:v>
                </c:pt>
                <c:pt idx="7">
                  <c:v>53.649771903037106</c:v>
                </c:pt>
                <c:pt idx="8">
                  <c:v>42.095737223128793</c:v>
                </c:pt>
                <c:pt idx="9">
                  <c:v>33.491668844473679</c:v>
                </c:pt>
                <c:pt idx="10">
                  <c:v>23.109251502686835</c:v>
                </c:pt>
                <c:pt idx="11">
                  <c:v>17.75058448757105</c:v>
                </c:pt>
                <c:pt idx="12">
                  <c:v>14.736334291568417</c:v>
                </c:pt>
                <c:pt idx="13">
                  <c:v>12.726834160899998</c:v>
                </c:pt>
                <c:pt idx="14">
                  <c:v>10.717334030231576</c:v>
                </c:pt>
                <c:pt idx="15">
                  <c:v>3.3491668844473681</c:v>
                </c:pt>
                <c:pt idx="16">
                  <c:v>1.0047500653342101</c:v>
                </c:pt>
                <c:pt idx="17">
                  <c:v>0.36840835728921045</c:v>
                </c:pt>
              </c:numCache>
            </c:numRef>
          </c:yVal>
          <c:smooth val="0"/>
        </c:ser>
        <c:dLbls>
          <c:showLegendKey val="0"/>
          <c:showVal val="0"/>
          <c:showCatName val="0"/>
          <c:showSerName val="0"/>
          <c:showPercent val="0"/>
          <c:showBubbleSize val="0"/>
        </c:dLbls>
        <c:axId val="129979520"/>
        <c:axId val="129981440"/>
      </c:scatterChart>
      <c:valAx>
        <c:axId val="12997952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9981440"/>
        <c:crosses val="autoZero"/>
        <c:crossBetween val="midCat"/>
        <c:majorUnit val="10"/>
        <c:minorUnit val="10"/>
      </c:valAx>
      <c:valAx>
        <c:axId val="12998144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997952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844669</xdr:colOff>
      <xdr:row>0</xdr:row>
      <xdr:rowOff>0</xdr:rowOff>
    </xdr:from>
    <xdr:to>
      <xdr:col>26</xdr:col>
      <xdr:colOff>349190</xdr:colOff>
      <xdr:row>27</xdr:row>
      <xdr:rowOff>247649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144" y="0"/>
          <a:ext cx="9391471" cy="650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22919" y="550544"/>
          <a:ext cx="649605" cy="810362"/>
        </a:xfrm>
        <a:prstGeom prst="rect">
          <a:avLst/>
        </a:prstGeom>
      </xdr:spPr>
    </xdr:pic>
    <xdr:clientData/>
  </xdr:oneCellAnchor>
  <xdr:twoCellAnchor>
    <xdr:from>
      <xdr:col>2</xdr:col>
      <xdr:colOff>127635</xdr:colOff>
      <xdr:row>6</xdr:row>
      <xdr:rowOff>371475</xdr:rowOff>
    </xdr:from>
    <xdr:to>
      <xdr:col>3</xdr:col>
      <xdr:colOff>120015</xdr:colOff>
      <xdr:row>7</xdr:row>
      <xdr:rowOff>17145</xdr:rowOff>
    </xdr:to>
    <xdr:sp macro="" textlink="">
      <xdr:nvSpPr>
        <xdr:cNvPr id="5" name="Oval 4"/>
        <xdr:cNvSpPr/>
      </xdr:nvSpPr>
      <xdr:spPr>
        <a:xfrm>
          <a:off x="1499235" y="1733550"/>
          <a:ext cx="840105"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workbookViewId="0">
      <selection activeCell="AF4" sqref="AF4"/>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51" t="s">
        <v>53</v>
      </c>
      <c r="AE1" s="151"/>
      <c r="AF1" s="151"/>
      <c r="AG1" s="151"/>
      <c r="AH1" s="151"/>
      <c r="AI1" s="151"/>
      <c r="AJ1" s="151"/>
      <c r="AK1" s="151"/>
      <c r="AL1"/>
    </row>
    <row r="2" spans="2:38" ht="23.25" x14ac:dyDescent="0.35">
      <c r="B2" s="151" t="s">
        <v>54</v>
      </c>
      <c r="C2" s="151"/>
      <c r="D2" s="151"/>
      <c r="E2" s="151"/>
      <c r="F2" s="151"/>
      <c r="G2" s="151"/>
      <c r="H2" s="151"/>
      <c r="I2" s="151"/>
      <c r="J2" s="151"/>
      <c r="K2" s="151"/>
      <c r="AD2" s="1" t="s">
        <v>55</v>
      </c>
      <c r="AF2" s="57">
        <f>+AE26</f>
        <v>164.4</v>
      </c>
      <c r="AG2" s="1" t="s">
        <v>56</v>
      </c>
      <c r="AL2"/>
    </row>
    <row r="3" spans="2:38" ht="15" x14ac:dyDescent="0.25">
      <c r="B3" s="8" t="s">
        <v>57</v>
      </c>
      <c r="C3" s="6"/>
      <c r="D3" s="20" t="s">
        <v>2</v>
      </c>
      <c r="E3" s="6"/>
      <c r="F3" s="1" t="s">
        <v>6</v>
      </c>
      <c r="G3" s="6" t="s">
        <v>58</v>
      </c>
      <c r="H3" s="6"/>
      <c r="I3" s="6"/>
      <c r="J3" s="6"/>
      <c r="K3" s="8"/>
      <c r="AD3" s="1" t="s">
        <v>59</v>
      </c>
      <c r="AF3" s="58">
        <v>8063</v>
      </c>
      <c r="AG3" s="1" t="s">
        <v>60</v>
      </c>
      <c r="AH3" s="59">
        <f>+AF3*0.0022046</f>
        <v>17.775689800000002</v>
      </c>
      <c r="AI3" s="1" t="s">
        <v>56</v>
      </c>
      <c r="AL3"/>
    </row>
    <row r="4" spans="2:38" ht="15" x14ac:dyDescent="0.25">
      <c r="B4" s="8" t="s">
        <v>12</v>
      </c>
      <c r="C4" s="10">
        <v>41489</v>
      </c>
      <c r="D4" s="60">
        <v>0.39583333333333331</v>
      </c>
      <c r="E4" s="9"/>
      <c r="F4" s="13" t="s">
        <v>61</v>
      </c>
      <c r="G4" s="9"/>
      <c r="H4" s="9"/>
      <c r="I4" s="9"/>
      <c r="J4" s="9"/>
      <c r="K4" s="8"/>
      <c r="AD4" s="1" t="s">
        <v>62</v>
      </c>
      <c r="AF4" s="118">
        <f>1-AH3/H42</f>
        <v>8.8426164102563987E-2</v>
      </c>
      <c r="AL4"/>
    </row>
    <row r="5" spans="2:38" ht="15.75" thickBot="1" x14ac:dyDescent="0.3">
      <c r="B5" s="8" t="s">
        <v>15</v>
      </c>
      <c r="C5" s="9"/>
      <c r="D5" s="16" t="s">
        <v>17</v>
      </c>
      <c r="E5" s="9"/>
      <c r="F5" s="13" t="s">
        <v>63</v>
      </c>
      <c r="G5" s="15" t="s">
        <v>64</v>
      </c>
      <c r="H5" s="9"/>
      <c r="I5" s="9"/>
      <c r="J5" s="9"/>
      <c r="K5" s="8"/>
      <c r="AF5" s="61"/>
      <c r="AL5"/>
    </row>
    <row r="6" spans="2:38" ht="15" x14ac:dyDescent="0.25">
      <c r="B6" s="8" t="s">
        <v>65</v>
      </c>
      <c r="C6" s="9"/>
      <c r="D6" s="9" t="s">
        <v>66</v>
      </c>
      <c r="E6" s="9"/>
      <c r="F6" s="13"/>
      <c r="G6" s="9"/>
      <c r="H6" s="9"/>
      <c r="I6" s="9"/>
      <c r="J6" s="9"/>
      <c r="K6" s="8"/>
      <c r="AE6" s="152" t="s">
        <v>67</v>
      </c>
      <c r="AF6" s="153"/>
      <c r="AG6" s="153"/>
      <c r="AH6" s="154"/>
      <c r="AL6"/>
    </row>
    <row r="7" spans="2:38" ht="43.5" x14ac:dyDescent="0.25">
      <c r="B7" s="6" t="s">
        <v>68</v>
      </c>
      <c r="C7" s="9"/>
      <c r="D7" s="9"/>
      <c r="E7" s="9"/>
      <c r="G7" s="9"/>
      <c r="H7" s="9"/>
      <c r="I7" s="9"/>
      <c r="J7" s="9"/>
      <c r="K7" s="8"/>
      <c r="AE7" s="62" t="s">
        <v>69</v>
      </c>
      <c r="AF7" s="62" t="s">
        <v>70</v>
      </c>
      <c r="AG7" s="63" t="s">
        <v>71</v>
      </c>
      <c r="AH7" s="63" t="s">
        <v>72</v>
      </c>
      <c r="AI7" s="63" t="s">
        <v>73</v>
      </c>
      <c r="AJ7" s="63" t="s">
        <v>74</v>
      </c>
      <c r="AK7" s="63" t="s">
        <v>75</v>
      </c>
      <c r="AL7"/>
    </row>
    <row r="8" spans="2:38" ht="18.75" x14ac:dyDescent="0.35">
      <c r="B8" s="8" t="s">
        <v>20</v>
      </c>
      <c r="C8" s="9"/>
      <c r="D8" s="9" t="s">
        <v>21</v>
      </c>
      <c r="E8" s="9"/>
      <c r="G8" s="48" t="s">
        <v>76</v>
      </c>
      <c r="H8" s="6">
        <v>128</v>
      </c>
      <c r="I8" s="6"/>
      <c r="J8" s="8"/>
      <c r="AD8" s="119">
        <v>360</v>
      </c>
      <c r="AE8" s="64">
        <f t="shared" ref="AE8:AE16" si="0">+H30</f>
        <v>0</v>
      </c>
      <c r="AF8" s="64">
        <f>+AE8</f>
        <v>0</v>
      </c>
      <c r="AG8" s="64">
        <f>+AF8</f>
        <v>0</v>
      </c>
      <c r="AH8" s="65">
        <f t="shared" ref="AH8:AH17" si="1">1-(AG8/AF$27)</f>
        <v>1</v>
      </c>
      <c r="AI8" s="66"/>
      <c r="AJ8" s="66"/>
      <c r="AK8" s="110">
        <f t="shared" ref="AK8:AK17" si="2">+AH8*100</f>
        <v>100</v>
      </c>
      <c r="AL8"/>
    </row>
    <row r="9" spans="2:38" ht="15.75" thickBot="1" x14ac:dyDescent="0.3">
      <c r="G9" s="48" t="s">
        <v>77</v>
      </c>
      <c r="H9" s="67">
        <v>1.3</v>
      </c>
      <c r="I9" s="9"/>
      <c r="AD9" s="119">
        <v>256</v>
      </c>
      <c r="AE9" s="64">
        <f t="shared" si="0"/>
        <v>0</v>
      </c>
      <c r="AF9" s="64">
        <f t="shared" ref="AF9:AF17" si="3">+AE9</f>
        <v>0</v>
      </c>
      <c r="AG9" s="68">
        <f t="shared" ref="AG9:AG17" si="4">+AF9+AG8</f>
        <v>0</v>
      </c>
      <c r="AH9" s="65">
        <f t="shared" si="1"/>
        <v>1</v>
      </c>
      <c r="AI9" s="66"/>
      <c r="AJ9" s="66"/>
      <c r="AK9" s="110">
        <f t="shared" si="2"/>
        <v>100</v>
      </c>
      <c r="AL9"/>
    </row>
    <row r="10" spans="2:38" ht="18.75" thickBot="1" x14ac:dyDescent="0.3">
      <c r="B10" s="155" t="s">
        <v>78</v>
      </c>
      <c r="C10" s="156"/>
      <c r="D10" s="156"/>
      <c r="E10" s="157"/>
      <c r="G10" s="48"/>
      <c r="H10" s="12"/>
      <c r="I10" s="12"/>
      <c r="AD10" s="119">
        <v>180</v>
      </c>
      <c r="AE10" s="64">
        <f t="shared" si="0"/>
        <v>0</v>
      </c>
      <c r="AF10" s="64">
        <f t="shared" si="3"/>
        <v>0</v>
      </c>
      <c r="AG10" s="68">
        <f t="shared" si="4"/>
        <v>0</v>
      </c>
      <c r="AH10" s="65">
        <f t="shared" si="1"/>
        <v>1</v>
      </c>
      <c r="AI10" s="66"/>
      <c r="AJ10" s="66"/>
      <c r="AK10" s="110">
        <f t="shared" si="2"/>
        <v>100</v>
      </c>
      <c r="AL10"/>
    </row>
    <row r="11" spans="2:38" ht="15" x14ac:dyDescent="0.25">
      <c r="B11" s="69" t="s">
        <v>79</v>
      </c>
      <c r="C11" s="69" t="s">
        <v>80</v>
      </c>
      <c r="D11" s="69" t="s">
        <v>81</v>
      </c>
      <c r="E11" s="69" t="s">
        <v>82</v>
      </c>
      <c r="G11" s="48" t="s">
        <v>83</v>
      </c>
      <c r="H11" s="70">
        <v>462.6</v>
      </c>
      <c r="I11" s="6"/>
      <c r="AD11" s="119">
        <v>128</v>
      </c>
      <c r="AE11" s="64">
        <f t="shared" si="0"/>
        <v>15.7</v>
      </c>
      <c r="AF11" s="64">
        <f t="shared" si="3"/>
        <v>15.7</v>
      </c>
      <c r="AG11" s="68">
        <f t="shared" si="4"/>
        <v>15.7</v>
      </c>
      <c r="AH11" s="65">
        <f>1-(AG11/AF$27)</f>
        <v>0.96491327959873108</v>
      </c>
      <c r="AI11" s="66"/>
      <c r="AJ11" s="66"/>
      <c r="AK11" s="110">
        <f t="shared" si="2"/>
        <v>96.491327959873104</v>
      </c>
      <c r="AL11"/>
    </row>
    <row r="12" spans="2:38" ht="42.75" x14ac:dyDescent="0.25">
      <c r="B12" s="71" t="s">
        <v>84</v>
      </c>
      <c r="C12" s="72" t="s">
        <v>85</v>
      </c>
      <c r="D12" s="72" t="s">
        <v>86</v>
      </c>
      <c r="E12" s="72" t="s">
        <v>87</v>
      </c>
      <c r="AD12" s="120">
        <v>90</v>
      </c>
      <c r="AE12" s="64">
        <f t="shared" si="0"/>
        <v>0</v>
      </c>
      <c r="AF12" s="64">
        <f t="shared" si="3"/>
        <v>0</v>
      </c>
      <c r="AG12" s="68">
        <f t="shared" si="4"/>
        <v>15.7</v>
      </c>
      <c r="AH12" s="65">
        <f t="shared" si="1"/>
        <v>0.96491327959873108</v>
      </c>
      <c r="AI12" s="66"/>
      <c r="AJ12" s="66"/>
      <c r="AK12" s="110">
        <f t="shared" si="2"/>
        <v>96.491327959873104</v>
      </c>
      <c r="AL12"/>
    </row>
    <row r="13" spans="2:38" ht="15" x14ac:dyDescent="0.25">
      <c r="B13" s="71"/>
      <c r="C13" s="72"/>
      <c r="D13" s="72"/>
      <c r="E13" s="73" t="s">
        <v>88</v>
      </c>
      <c r="G13" s="158" t="s">
        <v>33</v>
      </c>
      <c r="H13" s="158"/>
      <c r="I13" s="158"/>
      <c r="J13" s="158"/>
      <c r="AD13" s="120">
        <v>64</v>
      </c>
      <c r="AE13" s="64">
        <f t="shared" si="0"/>
        <v>80.5</v>
      </c>
      <c r="AF13" s="64">
        <f t="shared" si="3"/>
        <v>80.5</v>
      </c>
      <c r="AG13" s="68">
        <f t="shared" si="4"/>
        <v>96.2</v>
      </c>
      <c r="AH13" s="65">
        <f t="shared" si="1"/>
        <v>0.78501003168139682</v>
      </c>
      <c r="AI13" s="66"/>
      <c r="AJ13" s="66"/>
      <c r="AK13" s="110">
        <f t="shared" si="2"/>
        <v>78.501003168139675</v>
      </c>
      <c r="AL13"/>
    </row>
    <row r="14" spans="2:38" ht="15" x14ac:dyDescent="0.25">
      <c r="B14" s="74">
        <v>1</v>
      </c>
      <c r="C14" s="75">
        <v>1.7</v>
      </c>
      <c r="D14" s="75">
        <v>77.8</v>
      </c>
      <c r="E14" s="112">
        <f t="shared" ref="E14:E20" si="5">D14-C14</f>
        <v>76.099999999999994</v>
      </c>
      <c r="F14" s="13" t="s">
        <v>89</v>
      </c>
      <c r="G14" s="74" t="s">
        <v>90</v>
      </c>
      <c r="H14" s="159" t="s">
        <v>35</v>
      </c>
      <c r="I14" s="160"/>
      <c r="J14" s="160"/>
      <c r="K14" s="161"/>
      <c r="AD14" s="119">
        <v>45</v>
      </c>
      <c r="AE14" s="64">
        <f t="shared" si="0"/>
        <v>56.699999999999996</v>
      </c>
      <c r="AF14" s="64">
        <f t="shared" si="3"/>
        <v>56.699999999999996</v>
      </c>
      <c r="AG14" s="68">
        <f t="shared" si="4"/>
        <v>152.9</v>
      </c>
      <c r="AH14" s="65">
        <f t="shared" si="1"/>
        <v>0.65829557010483963</v>
      </c>
      <c r="AI14" s="66"/>
      <c r="AJ14" s="66"/>
      <c r="AK14" s="110">
        <f t="shared" si="2"/>
        <v>65.829557010483967</v>
      </c>
      <c r="AL14"/>
    </row>
    <row r="15" spans="2:38" ht="15" x14ac:dyDescent="0.25">
      <c r="B15" s="74">
        <v>2</v>
      </c>
      <c r="C15" s="75">
        <v>1.7</v>
      </c>
      <c r="D15" s="75">
        <v>63.4</v>
      </c>
      <c r="E15" s="112">
        <f t="shared" si="5"/>
        <v>61.699999999999996</v>
      </c>
      <c r="G15" s="76">
        <v>624</v>
      </c>
      <c r="H15" s="146" t="s">
        <v>91</v>
      </c>
      <c r="I15" s="147"/>
      <c r="J15" s="147"/>
      <c r="K15" s="148"/>
      <c r="L15" s="8"/>
      <c r="M15" s="8"/>
      <c r="N15" s="8"/>
      <c r="O15" s="8"/>
      <c r="AD15" s="119">
        <v>32</v>
      </c>
      <c r="AE15" s="64">
        <f t="shared" si="0"/>
        <v>54.5</v>
      </c>
      <c r="AF15" s="64">
        <f t="shared" si="3"/>
        <v>54.5</v>
      </c>
      <c r="AG15" s="68">
        <f t="shared" si="4"/>
        <v>207.4</v>
      </c>
      <c r="AH15" s="65">
        <f t="shared" si="1"/>
        <v>0.53649771903037102</v>
      </c>
      <c r="AI15" s="66"/>
      <c r="AJ15" s="66"/>
      <c r="AK15" s="110">
        <f t="shared" si="2"/>
        <v>53.649771903037106</v>
      </c>
      <c r="AL15"/>
    </row>
    <row r="16" spans="2:38" ht="15" x14ac:dyDescent="0.25">
      <c r="B16" s="74">
        <v>3</v>
      </c>
      <c r="C16" s="75">
        <v>1.7</v>
      </c>
      <c r="D16" s="75">
        <v>85.2</v>
      </c>
      <c r="E16" s="112">
        <f t="shared" si="5"/>
        <v>83.5</v>
      </c>
      <c r="G16" s="76">
        <v>625</v>
      </c>
      <c r="H16" s="146" t="s">
        <v>37</v>
      </c>
      <c r="I16" s="147"/>
      <c r="J16" s="147"/>
      <c r="K16" s="148"/>
      <c r="L16" s="8"/>
      <c r="M16" s="8"/>
      <c r="N16" s="8"/>
      <c r="O16" s="8"/>
      <c r="AD16" s="119">
        <v>22.5</v>
      </c>
      <c r="AE16" s="64">
        <f t="shared" si="0"/>
        <v>51.699999999999996</v>
      </c>
      <c r="AF16" s="64">
        <f t="shared" si="3"/>
        <v>51.699999999999996</v>
      </c>
      <c r="AG16" s="68">
        <f t="shared" si="4"/>
        <v>259.10000000000002</v>
      </c>
      <c r="AH16" s="65">
        <f t="shared" si="1"/>
        <v>0.42095737223128793</v>
      </c>
      <c r="AI16" s="66"/>
      <c r="AJ16" s="66"/>
      <c r="AK16" s="110">
        <f t="shared" si="2"/>
        <v>42.095737223128793</v>
      </c>
      <c r="AL16"/>
    </row>
    <row r="17" spans="2:38" ht="15" x14ac:dyDescent="0.25">
      <c r="B17" s="74">
        <v>4</v>
      </c>
      <c r="C17" s="75">
        <v>1.7</v>
      </c>
      <c r="D17" s="75">
        <v>80.400000000000006</v>
      </c>
      <c r="E17" s="112">
        <f t="shared" si="5"/>
        <v>78.7</v>
      </c>
      <c r="G17" s="76">
        <v>626</v>
      </c>
      <c r="H17" s="146" t="s">
        <v>92</v>
      </c>
      <c r="I17" s="147"/>
      <c r="J17" s="147"/>
      <c r="K17" s="148"/>
      <c r="L17" s="77"/>
      <c r="M17" s="77"/>
      <c r="N17" s="77"/>
      <c r="O17" s="77"/>
      <c r="AD17" s="119">
        <v>16</v>
      </c>
      <c r="AE17" s="68">
        <f>+H39</f>
        <v>38.5</v>
      </c>
      <c r="AF17" s="64">
        <f t="shared" si="3"/>
        <v>38.5</v>
      </c>
      <c r="AG17" s="68">
        <f t="shared" si="4"/>
        <v>297.60000000000002</v>
      </c>
      <c r="AH17" s="65">
        <f t="shared" si="1"/>
        <v>0.33491668844473677</v>
      </c>
      <c r="AI17" s="78">
        <v>100</v>
      </c>
      <c r="AJ17" s="65">
        <f t="shared" ref="AJ17:AJ25" si="6">+AI17/100*AH$17</f>
        <v>0.33491668844473677</v>
      </c>
      <c r="AK17" s="110">
        <f t="shared" si="2"/>
        <v>33.491668844473679</v>
      </c>
      <c r="AL17"/>
    </row>
    <row r="18" spans="2:38" ht="15" x14ac:dyDescent="0.25">
      <c r="B18" s="74">
        <v>5</v>
      </c>
      <c r="C18" s="75">
        <v>1.7</v>
      </c>
      <c r="D18" s="75">
        <v>86.8</v>
      </c>
      <c r="E18" s="112">
        <f t="shared" si="5"/>
        <v>85.1</v>
      </c>
      <c r="G18" s="76">
        <v>627</v>
      </c>
      <c r="H18" s="146" t="s">
        <v>39</v>
      </c>
      <c r="I18" s="147"/>
      <c r="J18" s="147"/>
      <c r="K18" s="148"/>
      <c r="L18" s="79"/>
      <c r="M18" s="79"/>
      <c r="N18" s="79"/>
      <c r="O18" s="79"/>
      <c r="AD18" s="119">
        <v>8</v>
      </c>
      <c r="AE18" s="66"/>
      <c r="AF18" s="66"/>
      <c r="AG18" s="66"/>
      <c r="AH18" s="66"/>
      <c r="AI18" s="78">
        <v>69</v>
      </c>
      <c r="AJ18" s="65">
        <f t="shared" si="6"/>
        <v>0.23109251502686834</v>
      </c>
      <c r="AK18" s="110">
        <f t="shared" ref="AK18:AK25" si="7">+AJ18*100</f>
        <v>23.109251502686835</v>
      </c>
      <c r="AL18"/>
    </row>
    <row r="19" spans="2:38" ht="15" x14ac:dyDescent="0.25">
      <c r="B19" s="74">
        <v>6</v>
      </c>
      <c r="C19" s="75">
        <v>1.7</v>
      </c>
      <c r="D19" s="75">
        <v>79.2</v>
      </c>
      <c r="E19" s="112">
        <f t="shared" si="5"/>
        <v>77.5</v>
      </c>
      <c r="G19" s="76">
        <v>628</v>
      </c>
      <c r="H19" s="146" t="s">
        <v>93</v>
      </c>
      <c r="I19" s="147"/>
      <c r="J19" s="147"/>
      <c r="K19" s="148"/>
      <c r="L19" s="79"/>
      <c r="M19" s="79"/>
      <c r="N19" s="79"/>
      <c r="O19" s="79"/>
      <c r="AD19" s="119">
        <v>4</v>
      </c>
      <c r="AE19" s="66"/>
      <c r="AF19" s="66"/>
      <c r="AG19" s="66"/>
      <c r="AH19" s="66"/>
      <c r="AI19" s="78">
        <v>53</v>
      </c>
      <c r="AJ19" s="65">
        <f t="shared" si="6"/>
        <v>0.1775058448757105</v>
      </c>
      <c r="AK19" s="110">
        <f t="shared" si="7"/>
        <v>17.75058448757105</v>
      </c>
      <c r="AL19"/>
    </row>
    <row r="20" spans="2:38" ht="15" x14ac:dyDescent="0.25">
      <c r="B20" s="74">
        <v>7</v>
      </c>
      <c r="C20" s="75"/>
      <c r="D20" s="75"/>
      <c r="E20" s="113">
        <f t="shared" si="5"/>
        <v>0</v>
      </c>
      <c r="G20" s="76">
        <v>629</v>
      </c>
      <c r="H20" s="146" t="s">
        <v>94</v>
      </c>
      <c r="I20" s="147"/>
      <c r="J20" s="147"/>
      <c r="K20" s="148"/>
      <c r="L20" s="79"/>
      <c r="M20" s="79"/>
      <c r="N20" s="79"/>
      <c r="O20" s="79"/>
      <c r="AD20" s="119">
        <v>2</v>
      </c>
      <c r="AE20" s="66"/>
      <c r="AF20" s="66"/>
      <c r="AG20" s="66"/>
      <c r="AH20" s="66"/>
      <c r="AI20" s="78">
        <v>44</v>
      </c>
      <c r="AJ20" s="65">
        <f t="shared" si="6"/>
        <v>0.14736334291568418</v>
      </c>
      <c r="AK20" s="110">
        <f t="shared" si="7"/>
        <v>14.736334291568417</v>
      </c>
      <c r="AL20"/>
    </row>
    <row r="21" spans="2:38" ht="15" x14ac:dyDescent="0.25">
      <c r="B21" s="74">
        <v>8</v>
      </c>
      <c r="C21" s="75"/>
      <c r="D21" s="75"/>
      <c r="E21" s="113"/>
      <c r="G21" s="76">
        <v>630</v>
      </c>
      <c r="H21" s="146" t="s">
        <v>41</v>
      </c>
      <c r="I21" s="147"/>
      <c r="J21" s="147"/>
      <c r="K21" s="148"/>
      <c r="L21" s="79"/>
      <c r="M21" s="79"/>
      <c r="N21" s="79"/>
      <c r="O21" s="79"/>
      <c r="AD21" s="119">
        <v>1</v>
      </c>
      <c r="AE21" s="66"/>
      <c r="AF21" s="66"/>
      <c r="AG21" s="66"/>
      <c r="AH21" s="66"/>
      <c r="AI21" s="78">
        <v>38</v>
      </c>
      <c r="AJ21" s="65">
        <f t="shared" si="6"/>
        <v>0.12726834160899997</v>
      </c>
      <c r="AK21" s="110">
        <f t="shared" si="7"/>
        <v>12.726834160899998</v>
      </c>
      <c r="AL21"/>
    </row>
    <row r="22" spans="2:38" ht="15" x14ac:dyDescent="0.25">
      <c r="B22" s="74">
        <v>9</v>
      </c>
      <c r="C22" s="75"/>
      <c r="D22" s="75"/>
      <c r="E22" s="113"/>
      <c r="G22" s="76">
        <v>631</v>
      </c>
      <c r="H22" s="146" t="s">
        <v>42</v>
      </c>
      <c r="I22" s="147"/>
      <c r="J22" s="147"/>
      <c r="K22" s="148"/>
      <c r="L22" s="79"/>
      <c r="M22" s="79"/>
      <c r="N22" s="79"/>
      <c r="O22" s="79"/>
      <c r="AD22" s="119">
        <v>0.5</v>
      </c>
      <c r="AE22" s="66"/>
      <c r="AF22" s="66"/>
      <c r="AG22" s="66"/>
      <c r="AH22" s="66"/>
      <c r="AI22" s="78">
        <v>32</v>
      </c>
      <c r="AJ22" s="65">
        <f t="shared" si="6"/>
        <v>0.10717334030231576</v>
      </c>
      <c r="AK22" s="110">
        <f t="shared" si="7"/>
        <v>10.717334030231576</v>
      </c>
      <c r="AL22"/>
    </row>
    <row r="23" spans="2:38" ht="15" x14ac:dyDescent="0.25">
      <c r="B23" s="74">
        <v>10</v>
      </c>
      <c r="C23" s="75"/>
      <c r="D23" s="75"/>
      <c r="E23" s="113"/>
      <c r="G23" s="76">
        <v>632</v>
      </c>
      <c r="H23" s="146" t="s">
        <v>43</v>
      </c>
      <c r="I23" s="147"/>
      <c r="J23" s="147"/>
      <c r="K23" s="148"/>
      <c r="L23" s="79"/>
      <c r="M23" s="79"/>
      <c r="N23" s="79"/>
      <c r="O23" s="79"/>
      <c r="AD23" s="121">
        <v>0.25</v>
      </c>
      <c r="AE23" s="66"/>
      <c r="AF23" s="66"/>
      <c r="AG23" s="66"/>
      <c r="AH23" s="66"/>
      <c r="AI23" s="78">
        <v>10</v>
      </c>
      <c r="AJ23" s="65">
        <f t="shared" si="6"/>
        <v>3.3491668844473681E-2</v>
      </c>
      <c r="AK23" s="110">
        <f t="shared" si="7"/>
        <v>3.3491668844473681</v>
      </c>
      <c r="AL23"/>
    </row>
    <row r="24" spans="2:38" ht="15" x14ac:dyDescent="0.25">
      <c r="B24" s="74" t="s">
        <v>95</v>
      </c>
      <c r="C24" s="75">
        <f>SUM(C14:C23)</f>
        <v>10.199999999999999</v>
      </c>
      <c r="D24" s="75">
        <f>SUM(D14:D23)</f>
        <v>472.79999999999995</v>
      </c>
      <c r="E24" s="112">
        <f>SUM(E14:E23)</f>
        <v>462.6</v>
      </c>
      <c r="G24" s="76">
        <v>633</v>
      </c>
      <c r="H24" s="146" t="s">
        <v>44</v>
      </c>
      <c r="I24" s="147"/>
      <c r="J24" s="147"/>
      <c r="K24" s="148"/>
      <c r="L24" s="79"/>
      <c r="M24" s="79"/>
      <c r="N24" s="79"/>
      <c r="O24" s="79"/>
      <c r="AD24" s="121">
        <v>0.125</v>
      </c>
      <c r="AE24" s="66"/>
      <c r="AF24" s="66"/>
      <c r="AG24" s="66"/>
      <c r="AH24" s="66"/>
      <c r="AI24" s="78">
        <v>3</v>
      </c>
      <c r="AJ24" s="122">
        <f t="shared" si="6"/>
        <v>1.0047500653342102E-2</v>
      </c>
      <c r="AK24" s="110">
        <f t="shared" si="7"/>
        <v>1.0047500653342101</v>
      </c>
      <c r="AL24"/>
    </row>
    <row r="25" spans="2:38" ht="15" x14ac:dyDescent="0.25">
      <c r="B25" s="17"/>
      <c r="C25" s="8"/>
      <c r="D25" s="8"/>
      <c r="E25" s="8"/>
      <c r="G25" s="76">
        <v>647</v>
      </c>
      <c r="H25" s="146" t="s">
        <v>96</v>
      </c>
      <c r="I25" s="147"/>
      <c r="J25" s="147"/>
      <c r="K25" s="148"/>
      <c r="L25" s="8"/>
      <c r="M25" s="8"/>
      <c r="N25" s="8"/>
      <c r="O25" s="8"/>
      <c r="AD25" s="121">
        <v>6.25E-2</v>
      </c>
      <c r="AE25" s="64"/>
      <c r="AF25" s="64"/>
      <c r="AG25" s="64"/>
      <c r="AH25" s="64"/>
      <c r="AI25" s="64">
        <v>1.1000000000000001</v>
      </c>
      <c r="AJ25" s="122">
        <f t="shared" si="6"/>
        <v>3.6840835728921047E-3</v>
      </c>
      <c r="AK25" s="110">
        <f t="shared" si="7"/>
        <v>0.36840835728921045</v>
      </c>
      <c r="AL25"/>
    </row>
    <row r="26" spans="2:38" ht="18" x14ac:dyDescent="0.25">
      <c r="B26" s="80" t="s">
        <v>97</v>
      </c>
      <c r="C26" s="81"/>
      <c r="D26" s="81"/>
      <c r="E26" s="81"/>
      <c r="F26" s="81"/>
      <c r="G26" s="82"/>
      <c r="H26" s="83"/>
      <c r="I26" s="83"/>
      <c r="J26" s="84"/>
      <c r="K26" s="85" t="s">
        <v>98</v>
      </c>
      <c r="L26" s="8"/>
      <c r="M26" s="8"/>
      <c r="N26" s="8"/>
      <c r="O26" s="8"/>
      <c r="AE26" s="57">
        <f>+H40</f>
        <v>164.4</v>
      </c>
      <c r="AF26" s="123">
        <f>(AH3/H42)*AE26</f>
        <v>149.86273862153848</v>
      </c>
      <c r="AG26" s="57"/>
      <c r="AL26"/>
    </row>
    <row r="27" spans="2:38" ht="18" x14ac:dyDescent="0.25">
      <c r="B27" s="86" t="s">
        <v>79</v>
      </c>
      <c r="C27" s="86" t="s">
        <v>80</v>
      </c>
      <c r="D27" s="86" t="s">
        <v>81</v>
      </c>
      <c r="E27" s="86" t="s">
        <v>82</v>
      </c>
      <c r="F27" s="86" t="s">
        <v>99</v>
      </c>
      <c r="G27" s="86" t="s">
        <v>100</v>
      </c>
      <c r="H27" s="86" t="s">
        <v>101</v>
      </c>
      <c r="I27" s="86" t="s">
        <v>102</v>
      </c>
      <c r="J27" s="87"/>
      <c r="K27" s="77"/>
      <c r="AE27" s="1">
        <f>SUM(AE8:AE26)</f>
        <v>462</v>
      </c>
      <c r="AF27" s="1">
        <f>SUM(AF8:AF26)</f>
        <v>447.46273862153851</v>
      </c>
      <c r="AG27" s="57"/>
      <c r="AL27"/>
    </row>
    <row r="28" spans="2:38" ht="85.5" x14ac:dyDescent="0.25">
      <c r="B28" s="63" t="s">
        <v>103</v>
      </c>
      <c r="C28" s="88" t="s">
        <v>104</v>
      </c>
      <c r="D28" s="63" t="s">
        <v>105</v>
      </c>
      <c r="E28" s="63" t="s">
        <v>106</v>
      </c>
      <c r="F28" s="63" t="s">
        <v>107</v>
      </c>
      <c r="G28" s="63" t="s">
        <v>108</v>
      </c>
      <c r="H28" s="63" t="s">
        <v>109</v>
      </c>
      <c r="I28" s="63" t="s">
        <v>110</v>
      </c>
      <c r="J28" s="89"/>
      <c r="K28" s="89"/>
      <c r="N28" s="90"/>
      <c r="AL28"/>
    </row>
    <row r="29" spans="2:38" ht="22.5" x14ac:dyDescent="0.25">
      <c r="B29" s="64"/>
      <c r="C29" s="73"/>
      <c r="D29" s="63"/>
      <c r="E29" s="63"/>
      <c r="F29" s="63"/>
      <c r="G29" s="73" t="s">
        <v>111</v>
      </c>
      <c r="H29" s="73" t="s">
        <v>112</v>
      </c>
      <c r="I29" s="73" t="s">
        <v>113</v>
      </c>
      <c r="J29" s="90"/>
      <c r="K29" s="90"/>
      <c r="R29" s="91"/>
      <c r="AD29" s="124" t="s">
        <v>132</v>
      </c>
      <c r="AE29" s="124" t="s">
        <v>25</v>
      </c>
      <c r="AL29"/>
    </row>
    <row r="30" spans="2:38" ht="15" x14ac:dyDescent="0.25">
      <c r="B30" s="76" t="s">
        <v>114</v>
      </c>
      <c r="C30" s="73"/>
      <c r="D30" s="63"/>
      <c r="E30" s="63"/>
      <c r="F30" s="63"/>
      <c r="G30" s="63"/>
      <c r="H30" s="114">
        <f>F30-G30</f>
        <v>0</v>
      </c>
      <c r="I30" s="114">
        <f>H30</f>
        <v>0</v>
      </c>
      <c r="J30" s="92"/>
      <c r="K30" s="92"/>
      <c r="AD30" s="124">
        <v>16</v>
      </c>
      <c r="AE30" s="125">
        <f ca="1">10^(FORECAST(AD30,LOG(OFFSET(AD$8:AD$25,MATCH(AD30,AK$8:AK$25,-1)-1,0,2)),OFFSET(AK$8:AK$25,MATCH(AD30,AK$8:AK$25,-1)-1,0,2)))</f>
        <v>2.6744283075728048</v>
      </c>
      <c r="AL30"/>
    </row>
    <row r="31" spans="2:38" ht="15" x14ac:dyDescent="0.25">
      <c r="B31" s="76" t="s">
        <v>115</v>
      </c>
      <c r="C31" s="75"/>
      <c r="D31" s="63"/>
      <c r="E31" s="63"/>
      <c r="F31" s="63"/>
      <c r="G31" s="63"/>
      <c r="H31" s="114">
        <f t="shared" ref="H31:H32" si="8">F31-G31</f>
        <v>0</v>
      </c>
      <c r="I31" s="115">
        <f>H31+I30</f>
        <v>0</v>
      </c>
      <c r="J31" s="92"/>
      <c r="K31" s="92"/>
      <c r="AD31" s="124">
        <v>50</v>
      </c>
      <c r="AE31" s="125">
        <f ca="1">10^(FORECAST(AD31,LOG(OFFSET(AD$8:AD$25,MATCH(AD31,AK$8:AK$25,-1)-1,0,2)),OFFSET(AK$8:AK$25,MATCH(AD31,AK$8:AK$25,-1)-1,0,2)))</f>
        <v>28.63053822911872</v>
      </c>
      <c r="AL31"/>
    </row>
    <row r="32" spans="2:38" ht="15" x14ac:dyDescent="0.25">
      <c r="B32" s="76" t="s">
        <v>116</v>
      </c>
      <c r="C32" s="75"/>
      <c r="D32" s="63"/>
      <c r="E32" s="63"/>
      <c r="F32" s="63"/>
      <c r="G32" s="63"/>
      <c r="H32" s="114">
        <f t="shared" si="8"/>
        <v>0</v>
      </c>
      <c r="I32" s="115">
        <f t="shared" ref="I32:I33" si="9">H32+I31</f>
        <v>0</v>
      </c>
      <c r="J32" s="92"/>
      <c r="K32" s="92"/>
      <c r="AD32" s="124">
        <v>84</v>
      </c>
      <c r="AE32" s="125">
        <f ca="1">10^(FORECAST(AD32,LOG(OFFSET(AD$8:AD$25,MATCH(AD32,AK$8:AK$25,-1)-1,0,2)),OFFSET(AK$8:AK$25,MATCH(AD32,AK$8:AK$25,-1)-1,0,2)))</f>
        <v>71.029274518974546</v>
      </c>
      <c r="AL32"/>
    </row>
    <row r="33" spans="2:38" ht="15" x14ac:dyDescent="0.25">
      <c r="B33" s="76" t="s">
        <v>117</v>
      </c>
      <c r="C33" s="75">
        <v>1.7</v>
      </c>
      <c r="D33" s="93">
        <v>17.399999999999999</v>
      </c>
      <c r="E33" s="93"/>
      <c r="F33" s="93">
        <v>17.399999999999999</v>
      </c>
      <c r="G33" s="75">
        <v>1.7</v>
      </c>
      <c r="H33" s="115">
        <f>F33-G33</f>
        <v>15.7</v>
      </c>
      <c r="I33" s="115">
        <f t="shared" si="9"/>
        <v>15.7</v>
      </c>
      <c r="J33" s="92"/>
      <c r="K33" s="92"/>
      <c r="AD33" s="124">
        <v>90</v>
      </c>
      <c r="AE33" s="125">
        <f ca="1">10^(FORECAST(AD33,LOG(OFFSET(AD$8:AD$25,MATCH(AD33,AK$8:AK$25,-1)-1,0,2)),OFFSET(AK$8:AK$25,MATCH(AD33,AK$8:AK$25,-1)-1,0,2)))</f>
        <v>79.582595682082186</v>
      </c>
      <c r="AG33"/>
      <c r="AH33"/>
      <c r="AI33"/>
      <c r="AJ33"/>
      <c r="AK33"/>
      <c r="AL33"/>
    </row>
    <row r="34" spans="2:38" ht="15" x14ac:dyDescent="0.25">
      <c r="B34" s="94" t="s">
        <v>118</v>
      </c>
      <c r="C34" s="75"/>
      <c r="D34" s="75"/>
      <c r="E34" s="75"/>
      <c r="F34" s="75"/>
      <c r="G34" s="75"/>
      <c r="H34" s="115">
        <f t="shared" ref="H34:H40" si="10">F34-G34</f>
        <v>0</v>
      </c>
      <c r="I34" s="115">
        <f>I33+H34</f>
        <v>15.7</v>
      </c>
      <c r="J34" s="92"/>
      <c r="K34" s="92"/>
      <c r="AD34" s="126"/>
      <c r="AE34" s="126"/>
      <c r="AF34"/>
      <c r="AG34"/>
      <c r="AH34"/>
      <c r="AI34"/>
      <c r="AJ34"/>
      <c r="AK34"/>
      <c r="AL34"/>
    </row>
    <row r="35" spans="2:38" ht="15" x14ac:dyDescent="0.25">
      <c r="B35" s="94" t="s">
        <v>119</v>
      </c>
      <c r="C35" s="75">
        <v>1.7</v>
      </c>
      <c r="D35" s="75">
        <v>82.2</v>
      </c>
      <c r="E35" s="75"/>
      <c r="F35" s="75">
        <v>82.2</v>
      </c>
      <c r="G35" s="75">
        <v>1.7</v>
      </c>
      <c r="H35" s="115">
        <f t="shared" si="10"/>
        <v>80.5</v>
      </c>
      <c r="I35" s="115">
        <f t="shared" ref="I35:I40" si="11">I34+H35</f>
        <v>96.2</v>
      </c>
      <c r="J35" s="8"/>
      <c r="K35" s="8"/>
      <c r="AD35" s="124" t="s">
        <v>133</v>
      </c>
      <c r="AE35" s="125">
        <f ca="1">0.5*(AE32/AE31+AE31/AE30)</f>
        <v>6.5930924453625774</v>
      </c>
      <c r="AF35"/>
      <c r="AG35"/>
      <c r="AH35"/>
      <c r="AI35"/>
      <c r="AJ35"/>
      <c r="AK35"/>
      <c r="AL35"/>
    </row>
    <row r="36" spans="2:38" ht="15" x14ac:dyDescent="0.25">
      <c r="B36" s="75">
        <v>45</v>
      </c>
      <c r="C36" s="75">
        <v>1.7</v>
      </c>
      <c r="D36" s="75">
        <v>58.4</v>
      </c>
      <c r="E36" s="75"/>
      <c r="F36" s="75">
        <v>58.4</v>
      </c>
      <c r="G36" s="75">
        <v>1.7</v>
      </c>
      <c r="H36" s="115">
        <f t="shared" si="10"/>
        <v>56.699999999999996</v>
      </c>
      <c r="I36" s="115">
        <f t="shared" si="11"/>
        <v>152.9</v>
      </c>
      <c r="J36" s="8"/>
      <c r="K36" s="8"/>
      <c r="AD36" s="126" t="s">
        <v>134</v>
      </c>
      <c r="AE36" s="125">
        <f>100-AK20</f>
        <v>85.263665708431589</v>
      </c>
      <c r="AF36"/>
      <c r="AG36"/>
      <c r="AH36"/>
      <c r="AI36"/>
      <c r="AJ36"/>
      <c r="AK36"/>
      <c r="AL36"/>
    </row>
    <row r="37" spans="2:38" ht="15" x14ac:dyDescent="0.25">
      <c r="B37" s="75">
        <v>32</v>
      </c>
      <c r="C37" s="75">
        <v>1.7</v>
      </c>
      <c r="D37" s="75">
        <v>56.2</v>
      </c>
      <c r="E37" s="75"/>
      <c r="F37" s="75">
        <v>56.2</v>
      </c>
      <c r="G37" s="75">
        <v>1.7</v>
      </c>
      <c r="H37" s="115">
        <f t="shared" si="10"/>
        <v>54.5</v>
      </c>
      <c r="I37" s="115">
        <f t="shared" si="11"/>
        <v>207.4</v>
      </c>
      <c r="J37" s="8"/>
      <c r="K37" s="8"/>
      <c r="AD37" s="126" t="s">
        <v>135</v>
      </c>
      <c r="AE37" s="125">
        <f>AK20-AK25</f>
        <v>14.367925934279207</v>
      </c>
      <c r="AF37"/>
      <c r="AG37"/>
      <c r="AH37"/>
      <c r="AI37"/>
      <c r="AJ37"/>
      <c r="AK37"/>
      <c r="AL37"/>
    </row>
    <row r="38" spans="2:38" ht="15" x14ac:dyDescent="0.25">
      <c r="B38" s="75">
        <v>22.5</v>
      </c>
      <c r="C38" s="75">
        <v>1.7</v>
      </c>
      <c r="D38" s="75">
        <v>53.4</v>
      </c>
      <c r="E38" s="75"/>
      <c r="F38" s="75">
        <v>53.4</v>
      </c>
      <c r="G38" s="75">
        <v>1.7</v>
      </c>
      <c r="H38" s="115">
        <f t="shared" si="10"/>
        <v>51.699999999999996</v>
      </c>
      <c r="I38" s="115">
        <f t="shared" si="11"/>
        <v>259.10000000000002</v>
      </c>
      <c r="J38" s="8"/>
      <c r="K38" s="8"/>
      <c r="AD38" s="124" t="s">
        <v>136</v>
      </c>
      <c r="AE38" s="125">
        <f>AK25</f>
        <v>0.36840835728921045</v>
      </c>
      <c r="AF38"/>
      <c r="AG38"/>
      <c r="AH38"/>
      <c r="AI38"/>
      <c r="AJ38"/>
      <c r="AK38"/>
      <c r="AL38"/>
    </row>
    <row r="39" spans="2:38" ht="15" x14ac:dyDescent="0.25">
      <c r="B39" s="75">
        <v>16</v>
      </c>
      <c r="C39" s="75">
        <v>1.7</v>
      </c>
      <c r="D39" s="75">
        <v>40.200000000000003</v>
      </c>
      <c r="E39" s="75"/>
      <c r="F39" s="75">
        <v>40.200000000000003</v>
      </c>
      <c r="G39" s="75">
        <v>1.7</v>
      </c>
      <c r="H39" s="115">
        <f t="shared" si="10"/>
        <v>38.5</v>
      </c>
      <c r="I39" s="115">
        <f t="shared" si="11"/>
        <v>297.60000000000002</v>
      </c>
      <c r="J39" s="8"/>
      <c r="K39" s="8"/>
      <c r="AD39"/>
      <c r="AE39"/>
      <c r="AF39"/>
      <c r="AG39"/>
      <c r="AH39"/>
      <c r="AI39"/>
      <c r="AJ39"/>
      <c r="AK39"/>
      <c r="AL39"/>
    </row>
    <row r="40" spans="2:38" ht="15" x14ac:dyDescent="0.25">
      <c r="B40" s="76" t="s">
        <v>120</v>
      </c>
      <c r="C40" s="75">
        <v>67</v>
      </c>
      <c r="D40" s="75">
        <v>231.4</v>
      </c>
      <c r="E40" s="75"/>
      <c r="F40" s="75">
        <v>231.4</v>
      </c>
      <c r="G40" s="75">
        <v>67</v>
      </c>
      <c r="H40" s="115">
        <f t="shared" si="10"/>
        <v>164.4</v>
      </c>
      <c r="I40" s="115">
        <f t="shared" si="11"/>
        <v>462</v>
      </c>
      <c r="J40" s="95"/>
      <c r="K40" s="8"/>
      <c r="AD40"/>
      <c r="AE40"/>
      <c r="AF40"/>
      <c r="AG40"/>
      <c r="AH40"/>
      <c r="AI40"/>
      <c r="AJ40"/>
      <c r="AK40"/>
      <c r="AL40"/>
    </row>
    <row r="41" spans="2:38" ht="15" x14ac:dyDescent="0.25">
      <c r="B41" s="76" t="s">
        <v>95</v>
      </c>
      <c r="C41" s="75">
        <f>SUM(C33:C40)</f>
        <v>77.2</v>
      </c>
      <c r="D41" s="75">
        <f>SUM(D33:D40)</f>
        <v>539.19999999999993</v>
      </c>
      <c r="E41" s="64"/>
      <c r="F41" s="75">
        <f>SUM(F33:F40)</f>
        <v>539.19999999999993</v>
      </c>
      <c r="G41" s="75">
        <f>SUM(G33:G40)</f>
        <v>77.2</v>
      </c>
      <c r="H41" s="112">
        <f>F41-G41</f>
        <v>461.99999999999994</v>
      </c>
      <c r="I41" s="112">
        <f>I40</f>
        <v>462</v>
      </c>
      <c r="J41" s="8"/>
      <c r="K41" s="8"/>
      <c r="AD41"/>
      <c r="AE41"/>
      <c r="AF41"/>
      <c r="AG41"/>
      <c r="AH41"/>
      <c r="AI41"/>
      <c r="AJ41"/>
      <c r="AK41"/>
      <c r="AL41"/>
    </row>
    <row r="42" spans="2:38" ht="29.25" x14ac:dyDescent="0.25">
      <c r="B42" s="96" t="s">
        <v>121</v>
      </c>
      <c r="C42" s="97">
        <v>1.7</v>
      </c>
      <c r="D42" s="97">
        <v>21.2</v>
      </c>
      <c r="E42" s="98"/>
      <c r="F42" s="99"/>
      <c r="G42" s="100"/>
      <c r="H42" s="116">
        <f>D42-C42</f>
        <v>19.5</v>
      </c>
      <c r="I42" s="117"/>
      <c r="J42" s="8"/>
      <c r="K42" s="8"/>
      <c r="AD42"/>
      <c r="AE42"/>
      <c r="AF42"/>
      <c r="AG42"/>
      <c r="AH42"/>
      <c r="AI42"/>
      <c r="AJ42"/>
      <c r="AK42"/>
      <c r="AL42"/>
    </row>
    <row r="43" spans="2:38" ht="15" x14ac:dyDescent="0.25">
      <c r="B43" s="101" t="s">
        <v>122</v>
      </c>
      <c r="J43" s="8"/>
      <c r="K43" s="8"/>
      <c r="AD43"/>
      <c r="AE43"/>
      <c r="AF43"/>
      <c r="AG43"/>
      <c r="AH43"/>
      <c r="AI43"/>
      <c r="AJ43"/>
      <c r="AK43"/>
      <c r="AL43"/>
    </row>
    <row r="44" spans="2:38" ht="15" x14ac:dyDescent="0.25">
      <c r="B44" s="101"/>
      <c r="J44" s="8"/>
      <c r="K44" s="8"/>
      <c r="AD44"/>
      <c r="AE44"/>
      <c r="AF44"/>
      <c r="AG44"/>
      <c r="AH44"/>
      <c r="AI44"/>
      <c r="AJ44"/>
      <c r="AK44"/>
      <c r="AL44"/>
    </row>
    <row r="45" spans="2:38" ht="15.75" x14ac:dyDescent="0.25">
      <c r="B45" s="149" t="s">
        <v>123</v>
      </c>
      <c r="C45" s="149"/>
      <c r="D45" s="149"/>
      <c r="E45" s="102" t="s">
        <v>124</v>
      </c>
      <c r="F45" s="70"/>
      <c r="G45" s="103" t="s">
        <v>125</v>
      </c>
      <c r="H45" s="104">
        <f>+(E24-H41)/E24</f>
        <v>1.2970168612193677E-3</v>
      </c>
      <c r="I45" s="102"/>
      <c r="J45" s="8"/>
      <c r="K45" s="8"/>
      <c r="R45" s="105"/>
      <c r="AD45"/>
      <c r="AE45"/>
      <c r="AF45"/>
      <c r="AG45"/>
      <c r="AH45"/>
      <c r="AI45"/>
      <c r="AJ45"/>
      <c r="AK45"/>
      <c r="AL45"/>
    </row>
    <row r="46" spans="2:38" ht="15" x14ac:dyDescent="0.25">
      <c r="B46" s="162" t="s">
        <v>126</v>
      </c>
      <c r="C46" s="162"/>
      <c r="D46" s="162"/>
      <c r="E46" s="103">
        <v>462.6</v>
      </c>
      <c r="J46" s="8"/>
      <c r="K46" s="8"/>
      <c r="AD46"/>
      <c r="AE46"/>
      <c r="AF46"/>
      <c r="AG46"/>
      <c r="AH46"/>
      <c r="AI46"/>
      <c r="AJ46"/>
      <c r="AK46"/>
      <c r="AL46"/>
    </row>
    <row r="47" spans="2:38" ht="30.75" customHeight="1" x14ac:dyDescent="0.25">
      <c r="B47" s="150" t="s">
        <v>127</v>
      </c>
      <c r="C47" s="150"/>
      <c r="D47" s="150"/>
      <c r="E47" s="150"/>
      <c r="F47" s="150"/>
      <c r="G47" s="150"/>
      <c r="H47" s="150"/>
      <c r="I47" s="150"/>
      <c r="J47" s="150"/>
      <c r="K47" s="150"/>
      <c r="AD47"/>
      <c r="AE47"/>
      <c r="AF47"/>
      <c r="AG47"/>
      <c r="AH47"/>
      <c r="AI47"/>
      <c r="AJ47"/>
      <c r="AK47"/>
      <c r="AL47"/>
    </row>
    <row r="48" spans="2:38" ht="15" x14ac:dyDescent="0.25">
      <c r="B48" s="106"/>
      <c r="C48" s="106"/>
      <c r="D48" s="106"/>
      <c r="E48" s="106"/>
      <c r="F48" s="106"/>
      <c r="G48" s="106"/>
      <c r="H48" s="106"/>
      <c r="I48" s="106"/>
      <c r="J48" s="106"/>
      <c r="K48" s="107"/>
      <c r="AD48"/>
      <c r="AE48"/>
      <c r="AF48"/>
      <c r="AG48"/>
      <c r="AH48"/>
      <c r="AI48"/>
      <c r="AJ48"/>
      <c r="AK48"/>
      <c r="AL48"/>
    </row>
    <row r="49" spans="2:38" ht="15" x14ac:dyDescent="0.25">
      <c r="B49" s="6" t="s">
        <v>128</v>
      </c>
      <c r="C49" s="6" t="s">
        <v>49</v>
      </c>
      <c r="D49" s="106"/>
      <c r="E49" s="106"/>
      <c r="F49" s="1" t="s">
        <v>129</v>
      </c>
      <c r="G49" s="108"/>
      <c r="H49" s="109">
        <v>649</v>
      </c>
      <c r="J49" s="48" t="s">
        <v>130</v>
      </c>
      <c r="K49" s="48" t="s">
        <v>131</v>
      </c>
      <c r="AD49"/>
      <c r="AE49"/>
      <c r="AF49"/>
      <c r="AG49"/>
      <c r="AH49"/>
      <c r="AI49"/>
      <c r="AJ49"/>
      <c r="AK49"/>
      <c r="AL49"/>
    </row>
    <row r="50" spans="2:38" ht="15" x14ac:dyDescent="0.25">
      <c r="K50" s="79"/>
      <c r="AD50"/>
      <c r="AE50"/>
      <c r="AF50"/>
      <c r="AG50"/>
      <c r="AH50"/>
      <c r="AI50"/>
      <c r="AJ50"/>
      <c r="AK50"/>
      <c r="AL50"/>
    </row>
    <row r="51" spans="2:38" ht="15" x14ac:dyDescent="0.25">
      <c r="K51" s="79"/>
      <c r="AD51"/>
      <c r="AE51"/>
      <c r="AF51"/>
      <c r="AG51"/>
      <c r="AH51"/>
      <c r="AI51"/>
      <c r="AJ51"/>
      <c r="AK51"/>
      <c r="AL51"/>
    </row>
    <row r="52" spans="2:38" ht="15" x14ac:dyDescent="0.25">
      <c r="K52" s="79"/>
      <c r="AD52"/>
      <c r="AE52"/>
      <c r="AF52"/>
      <c r="AG52"/>
      <c r="AH52"/>
      <c r="AI52"/>
      <c r="AJ52"/>
      <c r="AK52"/>
      <c r="AL52"/>
    </row>
    <row r="53" spans="2:38" ht="15" x14ac:dyDescent="0.25">
      <c r="K53" s="79"/>
      <c r="AD53"/>
      <c r="AE53"/>
      <c r="AF53"/>
      <c r="AG53"/>
      <c r="AH53"/>
      <c r="AI53"/>
      <c r="AJ53"/>
      <c r="AK53"/>
      <c r="AL53"/>
    </row>
    <row r="54" spans="2:38" ht="15" x14ac:dyDescent="0.25">
      <c r="B54" s="8"/>
      <c r="C54" s="8"/>
      <c r="AD54"/>
      <c r="AE54"/>
      <c r="AF54"/>
      <c r="AG54"/>
      <c r="AH54"/>
      <c r="AI54"/>
      <c r="AJ54"/>
      <c r="AK54"/>
      <c r="AL54"/>
    </row>
    <row r="55" spans="2:38" ht="15" x14ac:dyDescent="0.25">
      <c r="AD55"/>
      <c r="AE55"/>
      <c r="AF55"/>
      <c r="AG55"/>
      <c r="AH55"/>
      <c r="AI55"/>
      <c r="AJ55"/>
      <c r="AK55"/>
      <c r="AL55"/>
    </row>
  </sheetData>
  <mergeCells count="20">
    <mergeCell ref="H21:K21"/>
    <mergeCell ref="H22:K22"/>
    <mergeCell ref="H20:K20"/>
    <mergeCell ref="AD1:AK1"/>
    <mergeCell ref="B2:K2"/>
    <mergeCell ref="AE6:AH6"/>
    <mergeCell ref="B10:E10"/>
    <mergeCell ref="G13:J13"/>
    <mergeCell ref="H14:K14"/>
    <mergeCell ref="H15:K15"/>
    <mergeCell ref="H16:K16"/>
    <mergeCell ref="H17:K17"/>
    <mergeCell ref="H18:K18"/>
    <mergeCell ref="H19:K19"/>
    <mergeCell ref="H23:K23"/>
    <mergeCell ref="H24:K24"/>
    <mergeCell ref="H25:K25"/>
    <mergeCell ref="B45:D45"/>
    <mergeCell ref="B47:K47"/>
    <mergeCell ref="B46:D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D40" sqref="D40"/>
    </sheetView>
  </sheetViews>
  <sheetFormatPr defaultColWidth="8.85546875" defaultRowHeight="14.25" x14ac:dyDescent="0.2"/>
  <cols>
    <col min="1" max="1" width="8.85546875" style="1"/>
    <col min="2" max="2" width="6.7109375" style="1" customWidth="1"/>
    <col min="3"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51" t="s">
        <v>0</v>
      </c>
      <c r="C2" s="151"/>
      <c r="D2" s="151"/>
      <c r="E2" s="151"/>
      <c r="F2" s="151"/>
      <c r="G2" s="151"/>
      <c r="H2" s="151"/>
      <c r="I2" s="151"/>
      <c r="J2" s="151"/>
      <c r="K2" s="151"/>
      <c r="L2" s="151"/>
      <c r="M2" s="151"/>
      <c r="N2" s="151"/>
      <c r="O2" s="151"/>
      <c r="P2" s="151"/>
      <c r="Q2" s="151"/>
      <c r="R2" s="151"/>
      <c r="S2" s="151"/>
      <c r="T2" s="151"/>
      <c r="U2" s="151"/>
      <c r="V2" s="151"/>
      <c r="X2" s="151" t="s">
        <v>0</v>
      </c>
      <c r="Y2" s="151"/>
      <c r="Z2" s="151"/>
      <c r="AA2" s="151"/>
      <c r="AB2" s="151"/>
      <c r="AC2" s="151"/>
      <c r="AD2" s="151"/>
      <c r="AE2" s="151"/>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5</v>
      </c>
      <c r="Z4" s="6"/>
      <c r="AA4" s="1" t="s">
        <v>6</v>
      </c>
      <c r="AB4" s="6" t="s">
        <v>7</v>
      </c>
      <c r="AC4" s="6"/>
      <c r="AD4" s="6"/>
    </row>
    <row r="5" spans="2:33" x14ac:dyDescent="0.2">
      <c r="B5" s="9" t="s">
        <v>8</v>
      </c>
      <c r="C5" s="9"/>
      <c r="D5" s="9" t="s">
        <v>9</v>
      </c>
      <c r="E5" s="9"/>
      <c r="F5" s="9"/>
      <c r="G5" s="9"/>
      <c r="J5" s="1"/>
      <c r="K5" s="9" t="s">
        <v>10</v>
      </c>
      <c r="L5" s="9"/>
      <c r="M5" s="9"/>
      <c r="N5" s="9"/>
      <c r="O5" s="9"/>
      <c r="P5" s="9"/>
      <c r="Q5" s="9"/>
      <c r="R5" s="9"/>
      <c r="S5" s="9"/>
      <c r="T5" s="9"/>
      <c r="X5" s="8" t="s">
        <v>8</v>
      </c>
      <c r="Y5" s="9" t="s">
        <v>9</v>
      </c>
      <c r="Z5" s="9"/>
      <c r="AA5" s="1" t="s">
        <v>11</v>
      </c>
      <c r="AB5" s="9"/>
      <c r="AC5" s="9"/>
      <c r="AD5" s="9"/>
    </row>
    <row r="6" spans="2:33" x14ac:dyDescent="0.2">
      <c r="B6" s="9" t="s">
        <v>12</v>
      </c>
      <c r="C6" s="9"/>
      <c r="D6" s="10">
        <v>41489</v>
      </c>
      <c r="E6" s="11">
        <v>0.42777777777777781</v>
      </c>
      <c r="F6" s="9"/>
      <c r="G6" s="9"/>
      <c r="J6" s="1"/>
      <c r="K6" s="9" t="s">
        <v>13</v>
      </c>
      <c r="L6" s="9"/>
      <c r="M6" s="9" t="s">
        <v>14</v>
      </c>
      <c r="N6" s="9"/>
      <c r="O6" s="9"/>
      <c r="P6" s="9"/>
      <c r="Q6" s="9"/>
      <c r="R6" s="9"/>
      <c r="S6" s="9"/>
      <c r="T6" s="9"/>
      <c r="U6" s="9"/>
      <c r="V6" s="9"/>
      <c r="X6" s="8" t="s">
        <v>12</v>
      </c>
      <c r="Y6" s="10">
        <v>41489</v>
      </c>
      <c r="Z6" s="9"/>
      <c r="AA6" s="8" t="s">
        <v>15</v>
      </c>
      <c r="AB6" s="9" t="s">
        <v>16</v>
      </c>
      <c r="AC6" s="9"/>
      <c r="AD6" s="12"/>
    </row>
    <row r="7" spans="2:33" x14ac:dyDescent="0.2">
      <c r="B7" s="9" t="s">
        <v>15</v>
      </c>
      <c r="C7" s="9"/>
      <c r="D7" s="9" t="s">
        <v>17</v>
      </c>
      <c r="E7" s="9"/>
      <c r="F7" s="9"/>
      <c r="G7" s="9"/>
      <c r="J7" s="13"/>
      <c r="K7" s="14" t="s">
        <v>18</v>
      </c>
      <c r="L7" s="14"/>
      <c r="M7" s="15" t="s">
        <v>19</v>
      </c>
      <c r="N7" s="16"/>
      <c r="O7" s="16"/>
      <c r="P7" s="16"/>
      <c r="Q7" s="9"/>
      <c r="R7" s="9"/>
      <c r="S7" s="9"/>
      <c r="T7" s="9"/>
      <c r="U7" s="9"/>
      <c r="V7" s="9"/>
      <c r="X7" s="8"/>
      <c r="Y7" s="8"/>
      <c r="Z7" s="8"/>
      <c r="AA7" s="8" t="s">
        <v>20</v>
      </c>
      <c r="AB7" s="9" t="s">
        <v>21</v>
      </c>
      <c r="AC7" s="9"/>
      <c r="AD7" s="17"/>
    </row>
    <row r="8" spans="2:33" x14ac:dyDescent="0.2">
      <c r="B8" s="9" t="s">
        <v>20</v>
      </c>
      <c r="C8" s="9"/>
      <c r="D8" s="9" t="s">
        <v>21</v>
      </c>
      <c r="E8" s="9"/>
      <c r="F8" s="9"/>
      <c r="G8" s="9"/>
      <c r="K8" s="9"/>
      <c r="L8" s="9"/>
      <c r="M8" s="9"/>
      <c r="N8" s="9"/>
      <c r="O8" s="9"/>
      <c r="P8" s="9"/>
      <c r="Q8" s="9"/>
      <c r="R8" s="9"/>
      <c r="S8" s="9"/>
      <c r="T8" s="9"/>
      <c r="U8" s="9"/>
      <c r="V8" s="9"/>
      <c r="X8" s="8" t="s">
        <v>22</v>
      </c>
      <c r="Y8" s="8"/>
      <c r="Z8" s="8"/>
      <c r="AA8" s="18"/>
      <c r="AB8" s="17"/>
      <c r="AC8" s="17"/>
      <c r="AD8" s="17"/>
    </row>
    <row r="9" spans="2:33" x14ac:dyDescent="0.2">
      <c r="B9" s="9" t="s">
        <v>23</v>
      </c>
      <c r="C9" s="9"/>
      <c r="D9" s="9" t="s">
        <v>24</v>
      </c>
      <c r="E9" s="9"/>
      <c r="F9" s="9"/>
      <c r="G9" s="9"/>
      <c r="H9" s="2"/>
      <c r="I9" s="1"/>
      <c r="J9" s="1"/>
      <c r="K9" s="9"/>
      <c r="L9" s="9"/>
      <c r="M9" s="9"/>
      <c r="N9" s="9"/>
      <c r="O9" s="9"/>
      <c r="P9" s="9"/>
      <c r="Q9" s="9"/>
      <c r="R9" s="9"/>
      <c r="S9" s="9"/>
      <c r="T9" s="9"/>
      <c r="U9" s="9"/>
      <c r="V9" s="9"/>
      <c r="X9" s="6"/>
      <c r="Y9" s="6"/>
      <c r="Z9" s="6"/>
      <c r="AA9" s="19"/>
      <c r="AB9" s="20"/>
      <c r="AC9" s="20"/>
      <c r="AD9" s="20"/>
      <c r="AE9" s="6"/>
      <c r="AF9" s="6"/>
    </row>
    <row r="10" spans="2:33" s="8" customFormat="1" ht="15.75" x14ac:dyDescent="0.25">
      <c r="B10" s="21"/>
      <c r="C10" s="181"/>
      <c r="D10" s="181"/>
      <c r="E10" s="181"/>
      <c r="F10" s="181"/>
      <c r="G10" s="181"/>
      <c r="H10" s="181"/>
      <c r="I10" s="22"/>
      <c r="J10" s="22"/>
      <c r="K10" s="22"/>
      <c r="L10" s="22"/>
      <c r="N10" s="21"/>
      <c r="X10" s="9"/>
      <c r="Y10" s="9"/>
      <c r="Z10" s="9"/>
      <c r="AA10" s="14"/>
      <c r="AB10" s="16"/>
      <c r="AC10" s="16"/>
      <c r="AD10" s="16"/>
      <c r="AE10" s="9"/>
      <c r="AF10" s="9"/>
      <c r="AG10" s="1"/>
    </row>
    <row r="11" spans="2:33" s="8" customFormat="1" ht="32.25" thickBot="1" x14ac:dyDescent="0.25">
      <c r="B11" s="23" t="s">
        <v>25</v>
      </c>
      <c r="C11" s="182" t="s">
        <v>26</v>
      </c>
      <c r="D11" s="182"/>
      <c r="E11" s="182"/>
      <c r="F11" s="182"/>
      <c r="G11" s="24" t="s">
        <v>27</v>
      </c>
      <c r="H11" s="24" t="s">
        <v>28</v>
      </c>
      <c r="I11" s="23" t="s">
        <v>25</v>
      </c>
      <c r="J11" s="182" t="s">
        <v>29</v>
      </c>
      <c r="K11" s="182"/>
      <c r="L11" s="182"/>
      <c r="M11" s="182"/>
      <c r="N11" s="24" t="s">
        <v>27</v>
      </c>
      <c r="O11" s="24" t="s">
        <v>28</v>
      </c>
      <c r="P11" s="23" t="s">
        <v>25</v>
      </c>
      <c r="Q11" s="182" t="s">
        <v>30</v>
      </c>
      <c r="R11" s="182"/>
      <c r="S11" s="182"/>
      <c r="T11" s="182"/>
      <c r="U11" s="24" t="s">
        <v>27</v>
      </c>
      <c r="V11" s="24" t="s">
        <v>28</v>
      </c>
      <c r="W11" s="25" t="s">
        <v>31</v>
      </c>
      <c r="X11" s="9"/>
      <c r="Y11" s="9"/>
      <c r="Z11" s="9"/>
      <c r="AA11" s="14"/>
      <c r="AB11" s="16"/>
      <c r="AC11" s="16"/>
      <c r="AD11" s="16"/>
      <c r="AE11" s="9"/>
      <c r="AF11" s="9"/>
      <c r="AG11" s="1"/>
    </row>
    <row r="12" spans="2:33" s="28" customFormat="1" x14ac:dyDescent="0.2">
      <c r="B12" s="127" t="s">
        <v>32</v>
      </c>
      <c r="C12" s="178"/>
      <c r="D12" s="179"/>
      <c r="E12" s="179"/>
      <c r="F12" s="180"/>
      <c r="G12" s="128">
        <v>6</v>
      </c>
      <c r="H12" s="129">
        <f>G12</f>
        <v>6</v>
      </c>
      <c r="I12" s="130" t="s">
        <v>32</v>
      </c>
      <c r="J12" s="178"/>
      <c r="K12" s="179"/>
      <c r="L12" s="179"/>
      <c r="M12" s="180"/>
      <c r="N12" s="26"/>
      <c r="O12" s="129">
        <f>N12</f>
        <v>0</v>
      </c>
      <c r="P12" s="130" t="s">
        <v>32</v>
      </c>
      <c r="Q12" s="178"/>
      <c r="R12" s="179"/>
      <c r="S12" s="179"/>
      <c r="T12" s="180"/>
      <c r="U12" s="131">
        <v>3</v>
      </c>
      <c r="V12" s="129">
        <f>U12</f>
        <v>3</v>
      </c>
      <c r="W12" s="27"/>
      <c r="X12" s="9"/>
      <c r="Y12" s="9"/>
      <c r="Z12" s="9"/>
      <c r="AA12" s="14"/>
      <c r="AB12" s="16"/>
      <c r="AC12" s="16"/>
      <c r="AD12" s="16"/>
      <c r="AE12" s="9"/>
      <c r="AF12" s="9"/>
      <c r="AG12" s="1"/>
    </row>
    <row r="13" spans="2:33" s="28" customFormat="1" x14ac:dyDescent="0.2">
      <c r="B13" s="132">
        <v>2</v>
      </c>
      <c r="C13" s="171"/>
      <c r="D13" s="172"/>
      <c r="E13" s="172"/>
      <c r="F13" s="173"/>
      <c r="G13" s="39"/>
      <c r="H13" s="133">
        <v>0</v>
      </c>
      <c r="I13" s="132">
        <v>2</v>
      </c>
      <c r="J13" s="171"/>
      <c r="K13" s="172"/>
      <c r="L13" s="172"/>
      <c r="M13" s="173"/>
      <c r="N13" s="134"/>
      <c r="O13" s="133">
        <v>0</v>
      </c>
      <c r="P13" s="132">
        <v>2</v>
      </c>
      <c r="Q13" s="171"/>
      <c r="R13" s="172"/>
      <c r="S13" s="172"/>
      <c r="T13" s="173"/>
      <c r="U13" s="31"/>
      <c r="V13" s="133">
        <v>0</v>
      </c>
      <c r="W13" s="30">
        <f>AVERAGE(V13,O13,H13)</f>
        <v>0</v>
      </c>
      <c r="X13" s="9"/>
      <c r="Y13" s="9"/>
      <c r="Z13" s="9"/>
      <c r="AA13" s="14"/>
      <c r="AB13" s="16"/>
      <c r="AC13" s="16"/>
      <c r="AD13" s="16"/>
      <c r="AE13" s="9"/>
      <c r="AF13" s="9"/>
      <c r="AG13" s="1"/>
    </row>
    <row r="14" spans="2:33" s="28" customFormat="1" x14ac:dyDescent="0.2">
      <c r="B14" s="135">
        <v>2.8</v>
      </c>
      <c r="C14" s="171"/>
      <c r="D14" s="172"/>
      <c r="E14" s="172"/>
      <c r="F14" s="173"/>
      <c r="G14" s="39"/>
      <c r="H14" s="133">
        <f>100*G13/SUM(G$13:G$28)</f>
        <v>0</v>
      </c>
      <c r="I14" s="135">
        <v>2.8</v>
      </c>
      <c r="J14" s="171"/>
      <c r="K14" s="172"/>
      <c r="L14" s="172"/>
      <c r="M14" s="173"/>
      <c r="N14" s="134">
        <v>2</v>
      </c>
      <c r="O14" s="133">
        <f>100*N13/SUM(N$13:N$28)</f>
        <v>0</v>
      </c>
      <c r="P14" s="135">
        <v>2.8</v>
      </c>
      <c r="Q14" s="171"/>
      <c r="R14" s="172"/>
      <c r="S14" s="172"/>
      <c r="T14" s="173"/>
      <c r="U14" s="31">
        <v>1</v>
      </c>
      <c r="V14" s="133">
        <f>100*U13/SUM(U$13:U$28)</f>
        <v>0</v>
      </c>
      <c r="W14" s="30">
        <f t="shared" ref="W14:W25" si="0">AVERAGE(V14,O14,H14)</f>
        <v>0</v>
      </c>
      <c r="X14" s="9"/>
      <c r="Y14" s="9"/>
      <c r="Z14" s="9"/>
      <c r="AA14" s="14"/>
      <c r="AB14" s="16"/>
      <c r="AC14" s="16"/>
      <c r="AD14" s="16"/>
      <c r="AE14" s="9"/>
      <c r="AF14" s="9"/>
      <c r="AG14" s="1"/>
    </row>
    <row r="15" spans="2:33" s="28" customFormat="1" x14ac:dyDescent="0.2">
      <c r="B15" s="132">
        <v>4</v>
      </c>
      <c r="C15" s="171"/>
      <c r="D15" s="172"/>
      <c r="E15" s="172"/>
      <c r="F15" s="173"/>
      <c r="G15" s="39">
        <v>1</v>
      </c>
      <c r="H15" s="133">
        <f>100*G14/SUM(G$13:G$28)+H14</f>
        <v>0</v>
      </c>
      <c r="I15" s="132">
        <v>4</v>
      </c>
      <c r="J15" s="171"/>
      <c r="K15" s="172"/>
      <c r="L15" s="172"/>
      <c r="M15" s="173"/>
      <c r="N15" s="134"/>
      <c r="O15" s="133">
        <f>100*N14/SUM(N$13:N$28)+O14</f>
        <v>2</v>
      </c>
      <c r="P15" s="132">
        <v>4</v>
      </c>
      <c r="Q15" s="171"/>
      <c r="R15" s="172"/>
      <c r="S15" s="172"/>
      <c r="T15" s="173"/>
      <c r="U15" s="31">
        <v>1</v>
      </c>
      <c r="V15" s="133">
        <f>100*U14/SUM(U$13:U$28)+V14</f>
        <v>1</v>
      </c>
      <c r="W15" s="30">
        <f t="shared" si="0"/>
        <v>1</v>
      </c>
      <c r="X15" s="9"/>
      <c r="Y15" s="9"/>
      <c r="Z15" s="9"/>
      <c r="AA15" s="14"/>
      <c r="AB15" s="9"/>
      <c r="AC15" s="9"/>
      <c r="AD15" s="9"/>
      <c r="AE15" s="9"/>
      <c r="AF15" s="9"/>
      <c r="AG15" s="1"/>
    </row>
    <row r="16" spans="2:33" s="28" customFormat="1" ht="18" x14ac:dyDescent="0.25">
      <c r="B16" s="132">
        <v>5.6</v>
      </c>
      <c r="C16" s="171"/>
      <c r="D16" s="172"/>
      <c r="E16" s="172"/>
      <c r="F16" s="173"/>
      <c r="G16" s="39">
        <v>5</v>
      </c>
      <c r="H16" s="133">
        <f t="shared" ref="H16:H28" si="1">100*G15/SUM(G$13:G$28)+H15</f>
        <v>1</v>
      </c>
      <c r="I16" s="132">
        <v>5.6</v>
      </c>
      <c r="J16" s="171"/>
      <c r="K16" s="172"/>
      <c r="L16" s="172"/>
      <c r="M16" s="173"/>
      <c r="N16" s="134">
        <v>3</v>
      </c>
      <c r="O16" s="133">
        <f t="shared" ref="O16:O28" si="2">100*N15/SUM(N$13:N$28)+O15</f>
        <v>2</v>
      </c>
      <c r="P16" s="132">
        <v>5.6</v>
      </c>
      <c r="Q16" s="171"/>
      <c r="R16" s="172"/>
      <c r="S16" s="172"/>
      <c r="T16" s="173"/>
      <c r="U16" s="31">
        <v>4</v>
      </c>
      <c r="V16" s="133">
        <f t="shared" ref="V16:V28" si="3">100*U15/SUM(U$13:U$28)+V15</f>
        <v>2</v>
      </c>
      <c r="W16" s="30">
        <f t="shared" si="0"/>
        <v>1.6666666666666667</v>
      </c>
      <c r="X16" s="32" t="s">
        <v>33</v>
      </c>
      <c r="Y16" s="33"/>
      <c r="Z16" s="33"/>
      <c r="AA16" s="34"/>
      <c r="AB16" s="35"/>
      <c r="AC16" s="35"/>
      <c r="AD16" s="35"/>
      <c r="AE16" s="35"/>
      <c r="AF16" s="35"/>
      <c r="AG16" s="1"/>
    </row>
    <row r="17" spans="2:33" s="28" customFormat="1" x14ac:dyDescent="0.2">
      <c r="B17" s="132">
        <v>8</v>
      </c>
      <c r="C17" s="171"/>
      <c r="D17" s="172"/>
      <c r="E17" s="172"/>
      <c r="F17" s="173"/>
      <c r="G17" s="39">
        <v>3</v>
      </c>
      <c r="H17" s="133">
        <f t="shared" si="1"/>
        <v>6</v>
      </c>
      <c r="I17" s="132">
        <v>8</v>
      </c>
      <c r="J17" s="171"/>
      <c r="K17" s="172"/>
      <c r="L17" s="172"/>
      <c r="M17" s="173"/>
      <c r="N17" s="134">
        <v>3</v>
      </c>
      <c r="O17" s="133">
        <f t="shared" si="2"/>
        <v>5</v>
      </c>
      <c r="P17" s="132">
        <v>8</v>
      </c>
      <c r="Q17" s="171"/>
      <c r="R17" s="172"/>
      <c r="S17" s="172"/>
      <c r="T17" s="173"/>
      <c r="U17" s="31">
        <v>9</v>
      </c>
      <c r="V17" s="133">
        <f t="shared" si="3"/>
        <v>6</v>
      </c>
      <c r="W17" s="30">
        <f t="shared" si="0"/>
        <v>5.666666666666667</v>
      </c>
      <c r="X17" s="35" t="s">
        <v>34</v>
      </c>
      <c r="Y17" s="177" t="s">
        <v>35</v>
      </c>
      <c r="Z17" s="177"/>
      <c r="AA17" s="177"/>
      <c r="AB17" s="177"/>
      <c r="AC17" s="177"/>
      <c r="AD17" s="177"/>
      <c r="AE17" s="177"/>
      <c r="AF17" s="177"/>
      <c r="AG17" s="8"/>
    </row>
    <row r="18" spans="2:33" s="28" customFormat="1" x14ac:dyDescent="0.2">
      <c r="B18" s="132">
        <v>11</v>
      </c>
      <c r="C18" s="171"/>
      <c r="D18" s="172"/>
      <c r="E18" s="172"/>
      <c r="F18" s="173"/>
      <c r="G18" s="39">
        <v>6</v>
      </c>
      <c r="H18" s="133">
        <f t="shared" si="1"/>
        <v>9</v>
      </c>
      <c r="I18" s="132">
        <v>11</v>
      </c>
      <c r="J18" s="171"/>
      <c r="K18" s="172"/>
      <c r="L18" s="172"/>
      <c r="M18" s="173"/>
      <c r="N18" s="134">
        <v>5</v>
      </c>
      <c r="O18" s="133">
        <f t="shared" si="2"/>
        <v>8</v>
      </c>
      <c r="P18" s="132">
        <v>11</v>
      </c>
      <c r="Q18" s="171"/>
      <c r="R18" s="172"/>
      <c r="S18" s="172"/>
      <c r="T18" s="173"/>
      <c r="U18" s="31">
        <v>10</v>
      </c>
      <c r="V18" s="133">
        <f t="shared" si="3"/>
        <v>15</v>
      </c>
      <c r="W18" s="30">
        <f>AVERAGE(V18,O18,H18)</f>
        <v>10.666666666666666</v>
      </c>
      <c r="X18" s="36">
        <v>624</v>
      </c>
      <c r="Y18" s="146" t="s">
        <v>36</v>
      </c>
      <c r="Z18" s="147"/>
      <c r="AA18" s="147"/>
      <c r="AB18" s="147"/>
      <c r="AC18" s="147"/>
      <c r="AD18" s="147"/>
      <c r="AE18" s="147"/>
      <c r="AF18" s="148"/>
    </row>
    <row r="19" spans="2:33" s="28" customFormat="1" x14ac:dyDescent="0.2">
      <c r="B19" s="132">
        <v>16</v>
      </c>
      <c r="C19" s="171"/>
      <c r="D19" s="172"/>
      <c r="E19" s="172"/>
      <c r="F19" s="173"/>
      <c r="G19" s="39">
        <v>9</v>
      </c>
      <c r="H19" s="133">
        <f t="shared" si="1"/>
        <v>15</v>
      </c>
      <c r="I19" s="132">
        <v>16</v>
      </c>
      <c r="J19" s="171"/>
      <c r="K19" s="172"/>
      <c r="L19" s="172"/>
      <c r="M19" s="173"/>
      <c r="N19" s="134">
        <v>11</v>
      </c>
      <c r="O19" s="133">
        <f t="shared" si="2"/>
        <v>13</v>
      </c>
      <c r="P19" s="132">
        <v>16</v>
      </c>
      <c r="Q19" s="171"/>
      <c r="R19" s="172"/>
      <c r="S19" s="172"/>
      <c r="T19" s="173"/>
      <c r="U19" s="31">
        <v>8</v>
      </c>
      <c r="V19" s="133">
        <f t="shared" si="3"/>
        <v>25</v>
      </c>
      <c r="W19" s="30">
        <f t="shared" si="0"/>
        <v>17.666666666666668</v>
      </c>
      <c r="X19" s="36">
        <v>625</v>
      </c>
      <c r="Y19" s="146" t="s">
        <v>37</v>
      </c>
      <c r="Z19" s="147"/>
      <c r="AA19" s="147"/>
      <c r="AB19" s="147"/>
      <c r="AC19" s="147"/>
      <c r="AD19" s="147"/>
      <c r="AE19" s="147"/>
      <c r="AF19" s="148"/>
    </row>
    <row r="20" spans="2:33" s="28" customFormat="1" x14ac:dyDescent="0.2">
      <c r="B20" s="132">
        <v>22.5</v>
      </c>
      <c r="C20" s="171"/>
      <c r="D20" s="172"/>
      <c r="E20" s="172"/>
      <c r="F20" s="173"/>
      <c r="G20" s="39">
        <v>11</v>
      </c>
      <c r="H20" s="133">
        <f t="shared" si="1"/>
        <v>24</v>
      </c>
      <c r="I20" s="132">
        <v>22.5</v>
      </c>
      <c r="J20" s="171"/>
      <c r="K20" s="172"/>
      <c r="L20" s="172"/>
      <c r="M20" s="173"/>
      <c r="N20" s="134">
        <v>16</v>
      </c>
      <c r="O20" s="133">
        <f t="shared" si="2"/>
        <v>24</v>
      </c>
      <c r="P20" s="132">
        <v>22.5</v>
      </c>
      <c r="Q20" s="171"/>
      <c r="R20" s="172"/>
      <c r="S20" s="172"/>
      <c r="T20" s="173"/>
      <c r="U20" s="31">
        <v>11</v>
      </c>
      <c r="V20" s="133">
        <f t="shared" si="3"/>
        <v>33</v>
      </c>
      <c r="W20" s="30">
        <f t="shared" si="0"/>
        <v>27</v>
      </c>
      <c r="X20" s="27">
        <v>626</v>
      </c>
      <c r="Y20" s="146" t="s">
        <v>38</v>
      </c>
      <c r="Z20" s="147"/>
      <c r="AA20" s="147"/>
      <c r="AB20" s="147"/>
      <c r="AC20" s="147"/>
      <c r="AD20" s="147"/>
      <c r="AE20" s="147"/>
      <c r="AF20" s="148"/>
    </row>
    <row r="21" spans="2:33" s="28" customFormat="1" x14ac:dyDescent="0.2">
      <c r="B21" s="132">
        <v>32</v>
      </c>
      <c r="C21" s="171"/>
      <c r="D21" s="172"/>
      <c r="E21" s="172"/>
      <c r="F21" s="173"/>
      <c r="G21" s="39">
        <v>12</v>
      </c>
      <c r="H21" s="133">
        <f t="shared" si="1"/>
        <v>35</v>
      </c>
      <c r="I21" s="132">
        <v>32</v>
      </c>
      <c r="J21" s="171"/>
      <c r="K21" s="172"/>
      <c r="L21" s="172"/>
      <c r="M21" s="173"/>
      <c r="N21" s="134">
        <v>20</v>
      </c>
      <c r="O21" s="133">
        <f>100*N20/SUM(N$13:N$28)+O20</f>
        <v>40</v>
      </c>
      <c r="P21" s="132">
        <v>32</v>
      </c>
      <c r="Q21" s="171"/>
      <c r="R21" s="172"/>
      <c r="S21" s="172"/>
      <c r="T21" s="173"/>
      <c r="U21" s="31">
        <v>18</v>
      </c>
      <c r="V21" s="133">
        <f t="shared" si="3"/>
        <v>44</v>
      </c>
      <c r="W21" s="30">
        <f t="shared" si="0"/>
        <v>39.666666666666664</v>
      </c>
      <c r="X21" s="27">
        <v>627</v>
      </c>
      <c r="Y21" s="146" t="s">
        <v>39</v>
      </c>
      <c r="Z21" s="147"/>
      <c r="AA21" s="147"/>
      <c r="AB21" s="147"/>
      <c r="AC21" s="147"/>
      <c r="AD21" s="147"/>
      <c r="AE21" s="147"/>
      <c r="AF21" s="148"/>
    </row>
    <row r="22" spans="2:33" s="28" customFormat="1" x14ac:dyDescent="0.2">
      <c r="B22" s="132">
        <v>45</v>
      </c>
      <c r="C22" s="171"/>
      <c r="D22" s="172"/>
      <c r="E22" s="172"/>
      <c r="F22" s="173"/>
      <c r="G22" s="39">
        <v>26</v>
      </c>
      <c r="H22" s="133">
        <f t="shared" si="1"/>
        <v>47</v>
      </c>
      <c r="I22" s="132">
        <v>45</v>
      </c>
      <c r="J22" s="171"/>
      <c r="K22" s="172"/>
      <c r="L22" s="172"/>
      <c r="M22" s="173"/>
      <c r="N22" s="38">
        <v>16</v>
      </c>
      <c r="O22" s="133">
        <f t="shared" si="2"/>
        <v>60</v>
      </c>
      <c r="P22" s="132">
        <v>45</v>
      </c>
      <c r="Q22" s="171"/>
      <c r="R22" s="172"/>
      <c r="S22" s="172"/>
      <c r="T22" s="173"/>
      <c r="U22" s="31">
        <v>18</v>
      </c>
      <c r="V22" s="133">
        <f t="shared" si="3"/>
        <v>62</v>
      </c>
      <c r="W22" s="30">
        <f t="shared" si="0"/>
        <v>56.333333333333336</v>
      </c>
      <c r="X22" s="27">
        <v>628</v>
      </c>
      <c r="Y22" s="146" t="s">
        <v>39</v>
      </c>
      <c r="Z22" s="147"/>
      <c r="AA22" s="147"/>
      <c r="AB22" s="147"/>
      <c r="AC22" s="147"/>
      <c r="AD22" s="147"/>
      <c r="AE22" s="147"/>
      <c r="AF22" s="148"/>
    </row>
    <row r="23" spans="2:33" s="28" customFormat="1" x14ac:dyDescent="0.2">
      <c r="B23" s="136">
        <v>64</v>
      </c>
      <c r="C23" s="171"/>
      <c r="D23" s="172"/>
      <c r="E23" s="172"/>
      <c r="F23" s="173"/>
      <c r="G23" s="39">
        <v>16</v>
      </c>
      <c r="H23" s="133">
        <f t="shared" si="1"/>
        <v>73</v>
      </c>
      <c r="I23" s="136">
        <v>64</v>
      </c>
      <c r="J23" s="171"/>
      <c r="K23" s="172"/>
      <c r="L23" s="172"/>
      <c r="M23" s="173"/>
      <c r="N23" s="137">
        <v>14</v>
      </c>
      <c r="O23" s="133">
        <f t="shared" si="2"/>
        <v>76</v>
      </c>
      <c r="P23" s="136">
        <v>64</v>
      </c>
      <c r="Q23" s="171"/>
      <c r="R23" s="172"/>
      <c r="S23" s="172"/>
      <c r="T23" s="173"/>
      <c r="U23" s="37">
        <v>14</v>
      </c>
      <c r="V23" s="133">
        <f t="shared" si="3"/>
        <v>80</v>
      </c>
      <c r="W23" s="30">
        <f t="shared" si="0"/>
        <v>76.333333333333329</v>
      </c>
      <c r="X23" s="27">
        <v>629</v>
      </c>
      <c r="Y23" s="146" t="s">
        <v>40</v>
      </c>
      <c r="Z23" s="147"/>
      <c r="AA23" s="147"/>
      <c r="AB23" s="147"/>
      <c r="AC23" s="147"/>
      <c r="AD23" s="147"/>
      <c r="AE23" s="147"/>
      <c r="AF23" s="148"/>
    </row>
    <row r="24" spans="2:33" s="28" customFormat="1" x14ac:dyDescent="0.2">
      <c r="B24" s="132">
        <v>90</v>
      </c>
      <c r="C24" s="171"/>
      <c r="D24" s="172"/>
      <c r="E24" s="172"/>
      <c r="F24" s="173"/>
      <c r="G24" s="39">
        <v>10</v>
      </c>
      <c r="H24" s="133">
        <f t="shared" si="1"/>
        <v>89</v>
      </c>
      <c r="I24" s="132">
        <v>90</v>
      </c>
      <c r="J24" s="171"/>
      <c r="K24" s="172"/>
      <c r="L24" s="172"/>
      <c r="M24" s="173"/>
      <c r="N24" s="29">
        <v>10</v>
      </c>
      <c r="O24" s="133">
        <f t="shared" si="2"/>
        <v>90</v>
      </c>
      <c r="P24" s="132">
        <v>90</v>
      </c>
      <c r="Q24" s="171"/>
      <c r="R24" s="172"/>
      <c r="S24" s="172"/>
      <c r="T24" s="173"/>
      <c r="U24" s="37">
        <v>6</v>
      </c>
      <c r="V24" s="133">
        <f t="shared" si="3"/>
        <v>94</v>
      </c>
      <c r="W24" s="30">
        <f t="shared" si="0"/>
        <v>91</v>
      </c>
      <c r="X24" s="27">
        <v>630</v>
      </c>
      <c r="Y24" s="146" t="s">
        <v>41</v>
      </c>
      <c r="Z24" s="147"/>
      <c r="AA24" s="147"/>
      <c r="AB24" s="147"/>
      <c r="AC24" s="147"/>
      <c r="AD24" s="147"/>
      <c r="AE24" s="147"/>
      <c r="AF24" s="148"/>
    </row>
    <row r="25" spans="2:33" s="28" customFormat="1" x14ac:dyDescent="0.2">
      <c r="B25" s="135">
        <v>128</v>
      </c>
      <c r="C25" s="171"/>
      <c r="D25" s="172"/>
      <c r="E25" s="172"/>
      <c r="F25" s="173"/>
      <c r="G25" s="39">
        <v>1</v>
      </c>
      <c r="H25" s="133">
        <f t="shared" si="1"/>
        <v>99</v>
      </c>
      <c r="I25" s="135">
        <v>128</v>
      </c>
      <c r="J25" s="171"/>
      <c r="K25" s="172"/>
      <c r="L25" s="172"/>
      <c r="M25" s="173"/>
      <c r="N25" s="29"/>
      <c r="O25" s="133">
        <f t="shared" si="2"/>
        <v>100</v>
      </c>
      <c r="P25" s="135">
        <v>128</v>
      </c>
      <c r="Q25" s="171"/>
      <c r="R25" s="172"/>
      <c r="S25" s="172"/>
      <c r="T25" s="173"/>
      <c r="U25" s="37"/>
      <c r="V25" s="133">
        <f t="shared" si="3"/>
        <v>100</v>
      </c>
      <c r="W25" s="30">
        <f t="shared" si="0"/>
        <v>99.666666666666671</v>
      </c>
      <c r="X25" s="27">
        <v>631</v>
      </c>
      <c r="Y25" s="146" t="s">
        <v>42</v>
      </c>
      <c r="Z25" s="147"/>
      <c r="AA25" s="147"/>
      <c r="AB25" s="147"/>
      <c r="AC25" s="147"/>
      <c r="AD25" s="147"/>
      <c r="AE25" s="147"/>
      <c r="AF25" s="148"/>
    </row>
    <row r="26" spans="2:33" s="28" customFormat="1" x14ac:dyDescent="0.2">
      <c r="B26" s="135">
        <v>180</v>
      </c>
      <c r="C26" s="171"/>
      <c r="D26" s="172"/>
      <c r="E26" s="172"/>
      <c r="F26" s="173"/>
      <c r="G26" s="39"/>
      <c r="H26" s="133">
        <f t="shared" si="1"/>
        <v>100</v>
      </c>
      <c r="I26" s="135">
        <v>180</v>
      </c>
      <c r="J26" s="171"/>
      <c r="K26" s="172"/>
      <c r="L26" s="172"/>
      <c r="M26" s="173"/>
      <c r="N26" s="134"/>
      <c r="O26" s="133">
        <f t="shared" si="2"/>
        <v>100</v>
      </c>
      <c r="P26" s="135">
        <v>180</v>
      </c>
      <c r="Q26" s="171"/>
      <c r="R26" s="172"/>
      <c r="S26" s="172"/>
      <c r="T26" s="173"/>
      <c r="U26" s="37"/>
      <c r="V26" s="133">
        <f t="shared" si="3"/>
        <v>100</v>
      </c>
      <c r="W26" s="30">
        <f>AVERAGE(H26,V26,O26)</f>
        <v>100</v>
      </c>
      <c r="X26" s="27">
        <v>632</v>
      </c>
      <c r="Y26" s="146" t="s">
        <v>43</v>
      </c>
      <c r="Z26" s="147"/>
      <c r="AA26" s="147"/>
      <c r="AB26" s="147"/>
      <c r="AC26" s="147"/>
      <c r="AD26" s="147"/>
      <c r="AE26" s="147"/>
      <c r="AF26" s="148"/>
    </row>
    <row r="27" spans="2:33" s="28" customFormat="1" x14ac:dyDescent="0.2">
      <c r="B27" s="135">
        <v>256</v>
      </c>
      <c r="C27" s="171"/>
      <c r="D27" s="172"/>
      <c r="E27" s="172"/>
      <c r="F27" s="173"/>
      <c r="G27" s="39"/>
      <c r="H27" s="133">
        <f t="shared" si="1"/>
        <v>100</v>
      </c>
      <c r="I27" s="135">
        <v>256</v>
      </c>
      <c r="J27" s="171"/>
      <c r="K27" s="172"/>
      <c r="L27" s="172"/>
      <c r="M27" s="173"/>
      <c r="N27" s="134"/>
      <c r="O27" s="133">
        <f t="shared" si="2"/>
        <v>100</v>
      </c>
      <c r="P27" s="135">
        <v>256</v>
      </c>
      <c r="Q27" s="171"/>
      <c r="R27" s="172"/>
      <c r="S27" s="172"/>
      <c r="T27" s="173"/>
      <c r="U27" s="37"/>
      <c r="V27" s="133">
        <f t="shared" si="3"/>
        <v>100</v>
      </c>
      <c r="W27" s="30">
        <f>AVERAGE(H27,V27,O27)</f>
        <v>100</v>
      </c>
      <c r="X27" s="27">
        <v>633</v>
      </c>
      <c r="Y27" s="146" t="s">
        <v>44</v>
      </c>
      <c r="Z27" s="147"/>
      <c r="AA27" s="147"/>
      <c r="AB27" s="147"/>
      <c r="AC27" s="147"/>
      <c r="AD27" s="147"/>
      <c r="AE27" s="147"/>
      <c r="AF27" s="148"/>
    </row>
    <row r="28" spans="2:33" s="28" customFormat="1" ht="18" thickBot="1" x14ac:dyDescent="0.3">
      <c r="B28" s="138">
        <v>360</v>
      </c>
      <c r="C28" s="174"/>
      <c r="D28" s="175"/>
      <c r="E28" s="175"/>
      <c r="F28" s="176"/>
      <c r="G28" s="139"/>
      <c r="H28" s="133">
        <f t="shared" si="1"/>
        <v>100</v>
      </c>
      <c r="I28" s="138">
        <v>360</v>
      </c>
      <c r="J28" s="174"/>
      <c r="K28" s="175"/>
      <c r="L28" s="175"/>
      <c r="M28" s="176"/>
      <c r="N28" s="140"/>
      <c r="O28" s="133">
        <f t="shared" si="2"/>
        <v>100</v>
      </c>
      <c r="P28" s="138">
        <v>360</v>
      </c>
      <c r="Q28" s="174"/>
      <c r="R28" s="175"/>
      <c r="S28" s="175"/>
      <c r="T28" s="176"/>
      <c r="U28" s="141"/>
      <c r="V28" s="133">
        <f t="shared" si="3"/>
        <v>100</v>
      </c>
      <c r="W28" s="40">
        <f>AVERAGE(V28,O28,H28)</f>
        <v>100</v>
      </c>
      <c r="X28" s="27"/>
      <c r="Y28" s="146"/>
      <c r="Z28" s="147"/>
      <c r="AA28" s="147"/>
      <c r="AB28" s="147"/>
      <c r="AC28" s="147"/>
      <c r="AD28" s="147"/>
      <c r="AE28" s="147"/>
      <c r="AF28" s="148"/>
      <c r="AG28" s="41"/>
    </row>
    <row r="29" spans="2:33" s="28" customFormat="1" x14ac:dyDescent="0.2">
      <c r="H29" s="42"/>
      <c r="X29" s="27"/>
      <c r="Y29" s="146"/>
      <c r="Z29" s="147"/>
      <c r="AA29" s="147"/>
      <c r="AB29" s="147"/>
      <c r="AC29" s="147"/>
      <c r="AD29" s="147"/>
      <c r="AE29" s="147"/>
      <c r="AF29" s="148"/>
    </row>
    <row r="30" spans="2:33" s="28" customFormat="1" ht="15" thickBot="1" x14ac:dyDescent="0.25">
      <c r="C30" s="166" t="s">
        <v>45</v>
      </c>
      <c r="D30" s="166"/>
      <c r="E30" s="166"/>
      <c r="F30" s="166"/>
      <c r="G30" s="166"/>
      <c r="H30" s="166"/>
      <c r="I30" s="111"/>
      <c r="J30" s="166" t="s">
        <v>46</v>
      </c>
      <c r="K30" s="166"/>
      <c r="L30" s="166"/>
      <c r="M30" s="166"/>
      <c r="N30" s="166"/>
      <c r="O30" s="166"/>
      <c r="P30" s="111"/>
      <c r="Q30" s="166" t="s">
        <v>47</v>
      </c>
      <c r="R30" s="166"/>
      <c r="S30" s="166"/>
      <c r="T30" s="166"/>
      <c r="U30" s="166"/>
      <c r="V30" s="166"/>
      <c r="X30" s="27"/>
      <c r="Y30" s="146"/>
      <c r="Z30" s="147"/>
      <c r="AA30" s="147"/>
      <c r="AB30" s="147"/>
      <c r="AC30" s="147"/>
      <c r="AD30" s="147"/>
      <c r="AE30" s="147"/>
      <c r="AF30" s="148"/>
    </row>
    <row r="31" spans="2:33" s="28" customFormat="1" x14ac:dyDescent="0.2">
      <c r="C31" s="44"/>
      <c r="D31" s="45"/>
      <c r="E31" s="45"/>
      <c r="F31" s="45"/>
      <c r="G31" s="169"/>
      <c r="H31" s="170"/>
      <c r="I31" s="33"/>
      <c r="J31" s="44"/>
      <c r="K31" s="45"/>
      <c r="L31" s="45"/>
      <c r="M31" s="45"/>
      <c r="N31" s="169"/>
      <c r="O31" s="170"/>
      <c r="Q31" s="44"/>
      <c r="R31" s="45"/>
      <c r="S31" s="45"/>
      <c r="T31" s="45"/>
      <c r="U31" s="169"/>
      <c r="V31" s="170"/>
    </row>
    <row r="32" spans="2:33" s="28" customFormat="1" x14ac:dyDescent="0.2">
      <c r="C32" s="46"/>
      <c r="D32" s="47"/>
      <c r="E32" s="47"/>
      <c r="F32" s="47"/>
      <c r="G32" s="167"/>
      <c r="H32" s="168"/>
      <c r="I32" s="33"/>
      <c r="J32" s="46"/>
      <c r="K32" s="47"/>
      <c r="L32" s="47"/>
      <c r="M32" s="47"/>
      <c r="N32" s="167"/>
      <c r="O32" s="168"/>
      <c r="Q32" s="46"/>
      <c r="R32" s="47"/>
      <c r="S32" s="47"/>
      <c r="T32" s="47"/>
      <c r="U32" s="167"/>
      <c r="V32" s="168"/>
      <c r="X32" s="1"/>
      <c r="AA32" s="1"/>
      <c r="AC32" s="1"/>
      <c r="AD32" s="42"/>
      <c r="AF32" s="48"/>
    </row>
    <row r="33" spans="2:32" s="28" customFormat="1" ht="18" x14ac:dyDescent="0.2">
      <c r="C33" s="46"/>
      <c r="D33" s="47"/>
      <c r="E33" s="47"/>
      <c r="F33" s="47"/>
      <c r="G33" s="167"/>
      <c r="H33" s="168"/>
      <c r="I33" s="33"/>
      <c r="J33" s="46"/>
      <c r="K33" s="47"/>
      <c r="L33" s="47"/>
      <c r="M33" s="47"/>
      <c r="N33" s="167"/>
      <c r="O33" s="168"/>
      <c r="Q33" s="46"/>
      <c r="R33" s="47"/>
      <c r="S33" s="47"/>
      <c r="T33" s="47"/>
      <c r="U33" s="167"/>
      <c r="V33" s="168"/>
      <c r="Y33" s="49"/>
      <c r="Z33" s="165"/>
      <c r="AA33" s="165"/>
      <c r="AB33" s="165"/>
      <c r="AC33" s="43"/>
      <c r="AE33" s="17"/>
      <c r="AF33" s="50"/>
    </row>
    <row r="34" spans="2:32" s="28" customFormat="1" ht="18.75" thickBot="1" x14ac:dyDescent="0.25">
      <c r="C34" s="51"/>
      <c r="D34" s="52"/>
      <c r="E34" s="52"/>
      <c r="F34" s="52"/>
      <c r="G34" s="163"/>
      <c r="H34" s="164"/>
      <c r="I34" s="33"/>
      <c r="J34" s="51"/>
      <c r="K34" s="52"/>
      <c r="L34" s="52"/>
      <c r="M34" s="52"/>
      <c r="N34" s="53"/>
      <c r="O34" s="54"/>
      <c r="Q34" s="51"/>
      <c r="R34" s="52"/>
      <c r="S34" s="52"/>
      <c r="T34" s="52"/>
      <c r="U34" s="163"/>
      <c r="V34" s="164"/>
      <c r="Y34" s="49"/>
      <c r="Z34" s="165"/>
      <c r="AA34" s="165"/>
      <c r="AB34" s="165"/>
      <c r="AC34" s="43"/>
      <c r="AE34" s="17"/>
      <c r="AF34" s="50"/>
    </row>
    <row r="35" spans="2:32" s="28" customFormat="1" x14ac:dyDescent="0.2">
      <c r="B35" s="1" t="s">
        <v>48</v>
      </c>
      <c r="C35" s="28" t="s">
        <v>49</v>
      </c>
      <c r="G35" s="1"/>
      <c r="H35" s="42"/>
      <c r="K35" s="1" t="s">
        <v>50</v>
      </c>
      <c r="L35" s="1"/>
      <c r="M35" s="1">
        <v>650</v>
      </c>
      <c r="N35" s="1"/>
      <c r="R35" s="48"/>
      <c r="S35" s="48"/>
      <c r="T35" s="48"/>
      <c r="V35" s="48" t="s">
        <v>138</v>
      </c>
      <c r="X35" s="1" t="s">
        <v>51</v>
      </c>
      <c r="Y35" s="1"/>
      <c r="Z35" s="1"/>
      <c r="AA35" s="1" t="s">
        <v>50</v>
      </c>
      <c r="AB35" s="1">
        <v>651</v>
      </c>
      <c r="AD35" s="1"/>
      <c r="AE35" s="1"/>
      <c r="AF35" s="48" t="s">
        <v>52</v>
      </c>
    </row>
    <row r="36" spans="2:32" s="28" customFormat="1" x14ac:dyDescent="0.2">
      <c r="G36" s="33"/>
      <c r="H36" s="55"/>
      <c r="I36" s="33"/>
      <c r="J36" s="33"/>
      <c r="K36" s="33"/>
      <c r="L36" s="33"/>
      <c r="M36" s="33"/>
      <c r="N36" s="34"/>
      <c r="O36" s="35"/>
      <c r="P36" s="35"/>
      <c r="Q36" s="35"/>
      <c r="R36" s="35"/>
      <c r="S36" s="35"/>
      <c r="T36" s="35"/>
      <c r="Z36" s="43"/>
      <c r="AA36" s="56"/>
      <c r="AB36" s="43"/>
      <c r="AD36" s="35"/>
      <c r="AE36" s="35"/>
    </row>
    <row r="37" spans="2:32" s="28" customFormat="1" x14ac:dyDescent="0.2">
      <c r="H37" s="42"/>
      <c r="Y37" s="35"/>
      <c r="Z37" s="33"/>
      <c r="AA37" s="33"/>
      <c r="AB37" s="34"/>
      <c r="AC37" s="35"/>
      <c r="AD37" s="35"/>
      <c r="AE37" s="35"/>
    </row>
    <row r="38" spans="2:32" s="28" customFormat="1" x14ac:dyDescent="0.2">
      <c r="E38" s="142"/>
      <c r="F38" s="142"/>
      <c r="G38" s="142"/>
      <c r="H38" s="143"/>
      <c r="I38" s="142"/>
      <c r="J38" s="142"/>
      <c r="K38" s="142"/>
      <c r="L38" s="142"/>
      <c r="M38" s="142"/>
      <c r="N38" s="142"/>
      <c r="O38" s="142"/>
      <c r="P38" s="142"/>
      <c r="Q38" s="142"/>
      <c r="R38" s="142"/>
      <c r="S38" s="142"/>
      <c r="T38" s="142"/>
      <c r="U38" s="142"/>
      <c r="V38" s="142"/>
      <c r="W38" s="142" t="s">
        <v>137</v>
      </c>
      <c r="Y38" s="33"/>
      <c r="Z38" s="33"/>
      <c r="AA38" s="33"/>
      <c r="AB38" s="34"/>
      <c r="AC38" s="35"/>
      <c r="AE38" s="35"/>
    </row>
    <row r="39" spans="2:32" s="28" customFormat="1" ht="15" x14ac:dyDescent="0.25">
      <c r="E39" s="124" t="s">
        <v>132</v>
      </c>
      <c r="F39" s="124" t="s">
        <v>25</v>
      </c>
      <c r="G39" s="142"/>
      <c r="H39" s="142"/>
      <c r="I39" s="142"/>
      <c r="J39" s="142"/>
      <c r="K39" s="142"/>
      <c r="L39" s="124" t="s">
        <v>132</v>
      </c>
      <c r="M39" s="124" t="s">
        <v>25</v>
      </c>
      <c r="N39" s="142"/>
      <c r="O39" s="142"/>
      <c r="P39" s="142"/>
      <c r="Q39" s="142"/>
      <c r="R39" s="142"/>
      <c r="S39" s="124" t="s">
        <v>132</v>
      </c>
      <c r="T39" s="124" t="s">
        <v>25</v>
      </c>
      <c r="U39" s="142"/>
      <c r="V39" s="142"/>
      <c r="W39" s="124" t="s">
        <v>25</v>
      </c>
      <c r="Y39" s="33"/>
      <c r="Z39" s="33"/>
      <c r="AA39" s="33"/>
      <c r="AB39" s="34"/>
      <c r="AC39" s="35"/>
      <c r="AE39" s="35"/>
    </row>
    <row r="40" spans="2:32" s="28" customFormat="1" ht="15" x14ac:dyDescent="0.25">
      <c r="E40" s="124">
        <v>16</v>
      </c>
      <c r="F40" s="125">
        <f ca="1">10^(FORECAST(E40,LOG(OFFSET(B$13:B$28,MATCH(E40,H$13:H$28,1)-1,0,2)),OFFSET(H$13:H$28,MATCH(E40,H$13:H$28,1)-1,0,2)))</f>
        <v>16.617717644010046</v>
      </c>
      <c r="G40" s="142"/>
      <c r="H40" s="142"/>
      <c r="I40" s="142"/>
      <c r="J40" s="142"/>
      <c r="K40" s="142"/>
      <c r="L40" s="124">
        <v>16</v>
      </c>
      <c r="M40" s="125">
        <f ca="1">10^(FORECAST(L40,LOG(OFFSET(I$13:I$28,MATCH(L40,O$13:O$28,1)-1,0,2)),OFFSET(O$13:O$28,MATCH(L40,O$13:O$28,1)-1,0,2)))</f>
        <v>17.559036198395088</v>
      </c>
      <c r="N40" s="142"/>
      <c r="O40" s="142"/>
      <c r="P40" s="142"/>
      <c r="Q40" s="142"/>
      <c r="R40" s="142"/>
      <c r="S40" s="124">
        <v>16</v>
      </c>
      <c r="T40" s="125">
        <f ca="1">10^(FORECAST(S40,LOG(OFFSET(P$13:P$28,MATCH(S40,V$13:V$28,1)-1,0,2)),OFFSET(V$13:V$28,MATCH(S40,V$13:V$28,1)-1,0,2)))</f>
        <v>11.419981882351651</v>
      </c>
      <c r="U40" s="142"/>
      <c r="V40" s="144"/>
      <c r="W40" s="125">
        <f ca="1">10^(FORECAST(S40,LOG(OFFSET(P$13:P$28,MATCH(S40,W$13:W$28,1)-1,0,2)),OFFSET(W$13:W$28,MATCH(S40,W$13:W$28,1)-1,0,2)))</f>
        <v>14.634415724486141</v>
      </c>
    </row>
    <row r="41" spans="2:32" s="28" customFormat="1" ht="15" x14ac:dyDescent="0.25">
      <c r="E41" s="124">
        <v>50</v>
      </c>
      <c r="F41" s="125">
        <f t="shared" ref="F41:F43" ca="1" si="4">10^(FORECAST(E41,LOG(OFFSET(B$13:B$28,MATCH(E41,H$13:H$28,1)-1,0,2)),OFFSET(H$13:H$28,MATCH(E41,H$13:H$28,1)-1,0,2)))</f>
        <v>46.866509044195091</v>
      </c>
      <c r="G41" s="142"/>
      <c r="H41" s="142"/>
      <c r="I41" s="142"/>
      <c r="J41" s="142"/>
      <c r="K41" s="142"/>
      <c r="L41" s="124">
        <v>50</v>
      </c>
      <c r="M41" s="125">
        <f t="shared" ref="M41:M43" ca="1" si="5">10^(FORECAST(L41,LOG(OFFSET(I$13:I$28,MATCH(L41,O$13:O$28,1)-1,0,2)),OFFSET(O$13:O$28,MATCH(L41,O$13:O$28,1)-1,0,2)))</f>
        <v>37.947331922020574</v>
      </c>
      <c r="N41" s="142"/>
      <c r="O41" s="142"/>
      <c r="P41" s="142"/>
      <c r="Q41" s="142"/>
      <c r="R41" s="142"/>
      <c r="S41" s="124">
        <v>50</v>
      </c>
      <c r="T41" s="125">
        <f t="shared" ref="T41:T43" ca="1" si="6">10^(FORECAST(S41,LOG(OFFSET(P$13:P$28,MATCH(S41,V$13:V$28,1)-1,0,2)),OFFSET(V$13:V$28,MATCH(S41,V$13:V$28,1)-1,0,2)))</f>
        <v>35.851237972457341</v>
      </c>
      <c r="U41" s="142"/>
      <c r="V41" s="144"/>
      <c r="W41" s="125">
        <f t="shared" ref="W41:W43" ca="1" si="7">10^(FORECAST(S41,LOG(OFFSET(P$13:P$28,MATCH(S41,W$13:W$28,1)-1,0,2)),OFFSET(W$13:W$28,MATCH(S41,W$13:W$28,1)-1,0,2)))</f>
        <v>39.531996687517292</v>
      </c>
    </row>
    <row r="42" spans="2:32" s="28" customFormat="1" ht="15" x14ac:dyDescent="0.25">
      <c r="E42" s="124">
        <v>84</v>
      </c>
      <c r="F42" s="125">
        <f t="shared" ca="1" si="4"/>
        <v>80.904553814215419</v>
      </c>
      <c r="G42" s="142"/>
      <c r="H42" s="142"/>
      <c r="I42" s="142"/>
      <c r="J42" s="142"/>
      <c r="K42" s="142"/>
      <c r="L42" s="124">
        <v>84</v>
      </c>
      <c r="M42" s="125">
        <f t="shared" ca="1" si="5"/>
        <v>77.765530158300336</v>
      </c>
      <c r="N42" s="142"/>
      <c r="O42" s="142"/>
      <c r="P42" s="142"/>
      <c r="Q42" s="142"/>
      <c r="R42" s="142"/>
      <c r="S42" s="124">
        <v>84</v>
      </c>
      <c r="T42" s="125">
        <f t="shared" ca="1" si="6"/>
        <v>70.547813078303321</v>
      </c>
      <c r="U42" s="142"/>
      <c r="V42" s="144"/>
      <c r="W42" s="125">
        <f t="shared" ca="1" si="7"/>
        <v>76.485004986194909</v>
      </c>
    </row>
    <row r="43" spans="2:32" s="28" customFormat="1" ht="15" x14ac:dyDescent="0.25">
      <c r="E43" s="124">
        <v>90</v>
      </c>
      <c r="F43" s="125">
        <f t="shared" ca="1" si="4"/>
        <v>93.22647330451862</v>
      </c>
      <c r="G43" s="142"/>
      <c r="H43" s="142"/>
      <c r="I43" s="142"/>
      <c r="J43" s="142"/>
      <c r="K43" s="142"/>
      <c r="L43" s="124">
        <v>90</v>
      </c>
      <c r="M43" s="125">
        <f t="shared" ca="1" si="5"/>
        <v>90</v>
      </c>
      <c r="N43" s="142"/>
      <c r="O43" s="142"/>
      <c r="P43" s="142"/>
      <c r="Q43" s="142"/>
      <c r="R43" s="142"/>
      <c r="S43" s="124">
        <v>90</v>
      </c>
      <c r="T43" s="125">
        <f t="shared" ca="1" si="6"/>
        <v>81.646754855558683</v>
      </c>
      <c r="U43" s="142"/>
      <c r="V43" s="144"/>
      <c r="W43" s="125">
        <f t="shared" ca="1" si="7"/>
        <v>87.932078019127715</v>
      </c>
    </row>
    <row r="44" spans="2:32" s="28" customFormat="1" ht="15" x14ac:dyDescent="0.25">
      <c r="E44" s="126"/>
      <c r="F44" s="126"/>
      <c r="G44" s="142"/>
      <c r="H44" s="142"/>
      <c r="I44" s="142"/>
      <c r="J44" s="142"/>
      <c r="K44" s="142"/>
      <c r="L44" s="126"/>
      <c r="M44" s="126"/>
      <c r="N44" s="142"/>
      <c r="O44" s="142"/>
      <c r="P44" s="142"/>
      <c r="Q44" s="142"/>
      <c r="R44" s="142"/>
      <c r="S44" s="126"/>
      <c r="T44" s="126"/>
      <c r="U44" s="142"/>
      <c r="V44" s="142"/>
      <c r="W44" s="126"/>
    </row>
    <row r="45" spans="2:32" s="28" customFormat="1" ht="15" x14ac:dyDescent="0.25">
      <c r="E45" s="124" t="s">
        <v>133</v>
      </c>
      <c r="F45" s="125">
        <f ca="1">0.5*(F42/F41+F41/F40)</f>
        <v>2.2732750168520655</v>
      </c>
      <c r="G45" s="142"/>
      <c r="H45" s="142"/>
      <c r="I45" s="142"/>
      <c r="J45" s="142"/>
      <c r="K45" s="142"/>
      <c r="L45" s="124" t="s">
        <v>133</v>
      </c>
      <c r="M45" s="125">
        <f ca="1">0.5*(M42/M41+M41/M40)</f>
        <v>2.1052150314608804</v>
      </c>
      <c r="N45" s="142"/>
      <c r="O45" s="142"/>
      <c r="P45" s="142"/>
      <c r="Q45" s="142"/>
      <c r="R45" s="142"/>
      <c r="S45" s="124" t="s">
        <v>133</v>
      </c>
      <c r="T45" s="125">
        <f ca="1">0.5*(T42/T41+T41/T40)</f>
        <v>2.5535678747145822</v>
      </c>
      <c r="U45" s="142"/>
      <c r="V45" s="142"/>
      <c r="W45" s="125">
        <f ca="1">0.5*(W42/W41+W41/W40)</f>
        <v>2.3180326910499995</v>
      </c>
    </row>
    <row r="46" spans="2:32" s="28" customFormat="1" ht="15" x14ac:dyDescent="0.25">
      <c r="E46" s="126"/>
      <c r="F46" s="125"/>
      <c r="G46" s="142"/>
      <c r="H46" s="142"/>
      <c r="I46" s="142"/>
      <c r="J46" s="142"/>
      <c r="K46" s="142"/>
      <c r="L46" s="126"/>
      <c r="M46" s="125"/>
      <c r="N46" s="142"/>
      <c r="O46" s="142"/>
      <c r="P46" s="142"/>
      <c r="Q46" s="142"/>
      <c r="R46" s="142"/>
      <c r="S46" s="126"/>
      <c r="T46" s="125"/>
      <c r="U46" s="142"/>
      <c r="V46" s="142"/>
      <c r="W46" s="125"/>
    </row>
    <row r="47" spans="2:32" s="28" customFormat="1" ht="15" x14ac:dyDescent="0.25">
      <c r="E47" s="126" t="s">
        <v>135</v>
      </c>
      <c r="F47" s="125">
        <f>H12</f>
        <v>6</v>
      </c>
      <c r="G47" s="142"/>
      <c r="H47" s="142"/>
      <c r="I47" s="142"/>
      <c r="J47" s="142"/>
      <c r="K47" s="142"/>
      <c r="L47" s="126" t="s">
        <v>135</v>
      </c>
      <c r="M47" s="125">
        <f>O12</f>
        <v>0</v>
      </c>
      <c r="N47" s="142"/>
      <c r="O47" s="142"/>
      <c r="P47" s="142"/>
      <c r="Q47" s="142"/>
      <c r="R47" s="142"/>
      <c r="S47" s="126" t="s">
        <v>135</v>
      </c>
      <c r="T47" s="125">
        <f>V12</f>
        <v>3</v>
      </c>
      <c r="U47" s="142"/>
      <c r="V47" s="142"/>
      <c r="W47" s="125">
        <f>AVERAGE(T47,M47,F47)</f>
        <v>3</v>
      </c>
    </row>
    <row r="48" spans="2:32" s="28" customFormat="1" x14ac:dyDescent="0.2">
      <c r="H48" s="42"/>
    </row>
    <row r="49" spans="8:8" s="28" customFormat="1" x14ac:dyDescent="0.2">
      <c r="H49" s="42"/>
    </row>
    <row r="50" spans="8:8" s="28" customFormat="1" x14ac:dyDescent="0.2">
      <c r="H50" s="42"/>
    </row>
    <row r="51" spans="8:8" s="28" customFormat="1" x14ac:dyDescent="0.2">
      <c r="H51" s="42"/>
    </row>
    <row r="52" spans="8:8" s="28" customFormat="1" x14ac:dyDescent="0.2">
      <c r="H52" s="42"/>
    </row>
    <row r="53" spans="8:8" s="28" customFormat="1" x14ac:dyDescent="0.2">
      <c r="H53" s="42"/>
    </row>
    <row r="54" spans="8:8" s="28" customFormat="1" x14ac:dyDescent="0.2">
      <c r="H54" s="42"/>
    </row>
    <row r="55" spans="8:8" s="28" customFormat="1" x14ac:dyDescent="0.2">
      <c r="H55" s="42"/>
    </row>
    <row r="56" spans="8:8" s="28" customFormat="1" x14ac:dyDescent="0.2">
      <c r="H56" s="42"/>
    </row>
    <row r="57" spans="8:8" s="28" customFormat="1" x14ac:dyDescent="0.2">
      <c r="H57" s="42"/>
    </row>
    <row r="58" spans="8:8" s="28" customFormat="1" x14ac:dyDescent="0.2">
      <c r="H58" s="42"/>
    </row>
    <row r="59" spans="8:8" s="28" customFormat="1" x14ac:dyDescent="0.2">
      <c r="H59" s="42"/>
    </row>
    <row r="60" spans="8:8" s="28" customFormat="1" x14ac:dyDescent="0.2">
      <c r="H60" s="42"/>
    </row>
    <row r="61" spans="8:8" s="28" customFormat="1" x14ac:dyDescent="0.2">
      <c r="H61" s="42"/>
    </row>
    <row r="62" spans="8:8" s="28" customFormat="1" x14ac:dyDescent="0.2">
      <c r="H62" s="42"/>
    </row>
    <row r="63" spans="8:8" s="28" customFormat="1" x14ac:dyDescent="0.2">
      <c r="H63" s="42"/>
    </row>
    <row r="64" spans="8:8"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x14ac:dyDescent="0.2">
      <c r="X98" s="28"/>
      <c r="Y98" s="28"/>
      <c r="Z98" s="28"/>
      <c r="AA98" s="28"/>
      <c r="AB98" s="28"/>
      <c r="AC98" s="28"/>
      <c r="AD98" s="28"/>
      <c r="AE98" s="28"/>
      <c r="AF98" s="28"/>
      <c r="AG98" s="28"/>
    </row>
    <row r="99" spans="8:33" x14ac:dyDescent="0.2">
      <c r="X99" s="28"/>
      <c r="Y99" s="28"/>
      <c r="Z99" s="28"/>
      <c r="AA99" s="28"/>
      <c r="AB99" s="28"/>
      <c r="AC99" s="28"/>
      <c r="AD99" s="28"/>
      <c r="AE99" s="28"/>
      <c r="AF99" s="28"/>
      <c r="AG99" s="28"/>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F22" sqref="F22"/>
    </sheetView>
  </sheetViews>
  <sheetFormatPr defaultRowHeight="15" x14ac:dyDescent="0.25"/>
  <sheetData>
    <row r="6" spans="3:8" x14ac:dyDescent="0.25">
      <c r="C6" s="126"/>
      <c r="D6" s="183" t="s">
        <v>139</v>
      </c>
      <c r="E6" s="183"/>
      <c r="F6" s="183"/>
      <c r="G6" s="183"/>
      <c r="H6" s="124" t="s">
        <v>140</v>
      </c>
    </row>
    <row r="7" spans="3:8" x14ac:dyDescent="0.25">
      <c r="C7" s="126"/>
      <c r="D7" s="124" t="s">
        <v>26</v>
      </c>
      <c r="E7" s="124" t="s">
        <v>29</v>
      </c>
      <c r="F7" s="124" t="s">
        <v>30</v>
      </c>
      <c r="G7" s="124" t="s">
        <v>141</v>
      </c>
      <c r="H7" s="124" t="s">
        <v>142</v>
      </c>
    </row>
    <row r="8" spans="3:8" x14ac:dyDescent="0.25">
      <c r="C8" s="126" t="s">
        <v>143</v>
      </c>
      <c r="D8" s="125">
        <f ca="1">Surface!F40</f>
        <v>16.617717644010046</v>
      </c>
      <c r="E8" s="125">
        <f ca="1">Surface!M40</f>
        <v>17.559036198395088</v>
      </c>
      <c r="F8" s="125">
        <f ca="1">Surface!T40</f>
        <v>11.419981882351651</v>
      </c>
      <c r="G8" s="125">
        <f ca="1">Surface!W40</f>
        <v>14.634415724486141</v>
      </c>
      <c r="H8" s="125">
        <f ca="1">SubS!AE30</f>
        <v>2.6744283075728048</v>
      </c>
    </row>
    <row r="9" spans="3:8" x14ac:dyDescent="0.25">
      <c r="C9" s="126" t="s">
        <v>144</v>
      </c>
      <c r="D9" s="125">
        <f ca="1">Surface!F41</f>
        <v>46.866509044195091</v>
      </c>
      <c r="E9" s="125">
        <f ca="1">Surface!M41</f>
        <v>37.947331922020574</v>
      </c>
      <c r="F9" s="125">
        <f ca="1">Surface!T41</f>
        <v>35.851237972457341</v>
      </c>
      <c r="G9" s="125">
        <f ca="1">Surface!W41</f>
        <v>39.531996687517292</v>
      </c>
      <c r="H9" s="125">
        <f ca="1">SubS!AE31</f>
        <v>28.63053822911872</v>
      </c>
    </row>
    <row r="10" spans="3:8" x14ac:dyDescent="0.25">
      <c r="C10" s="126" t="s">
        <v>145</v>
      </c>
      <c r="D10" s="125">
        <f ca="1">Surface!F42</f>
        <v>80.904553814215419</v>
      </c>
      <c r="E10" s="125">
        <f ca="1">Surface!M42</f>
        <v>77.765530158300336</v>
      </c>
      <c r="F10" s="125">
        <f ca="1">Surface!T42</f>
        <v>70.547813078303321</v>
      </c>
      <c r="G10" s="125">
        <f ca="1">Surface!W42</f>
        <v>76.485004986194909</v>
      </c>
      <c r="H10" s="125">
        <f ca="1">SubS!AE32</f>
        <v>71.029274518974546</v>
      </c>
    </row>
    <row r="11" spans="3:8" x14ac:dyDescent="0.25">
      <c r="C11" s="126" t="s">
        <v>146</v>
      </c>
      <c r="D11" s="125">
        <f ca="1">Surface!F43</f>
        <v>93.22647330451862</v>
      </c>
      <c r="E11" s="125">
        <f ca="1">Surface!M43</f>
        <v>90</v>
      </c>
      <c r="F11" s="125">
        <f ca="1">Surface!T43</f>
        <v>81.646754855558683</v>
      </c>
      <c r="G11" s="125">
        <f ca="1">Surface!W43</f>
        <v>87.932078019127715</v>
      </c>
      <c r="H11" s="125">
        <f ca="1">SubS!AE33</f>
        <v>79.582595682082186</v>
      </c>
    </row>
    <row r="12" spans="3:8" x14ac:dyDescent="0.25">
      <c r="C12" s="126"/>
      <c r="D12" s="125"/>
      <c r="E12" s="125"/>
      <c r="F12" s="125"/>
      <c r="G12" s="125"/>
      <c r="H12" s="125"/>
    </row>
    <row r="13" spans="3:8" x14ac:dyDescent="0.25">
      <c r="C13" s="126" t="s">
        <v>147</v>
      </c>
      <c r="D13" s="125">
        <f ca="1">Surface!F45</f>
        <v>2.2732750168520655</v>
      </c>
      <c r="E13" s="125">
        <f ca="1">Surface!M45</f>
        <v>2.1052150314608804</v>
      </c>
      <c r="F13" s="125">
        <f ca="1">Surface!T45</f>
        <v>2.5535678747145822</v>
      </c>
      <c r="G13" s="125">
        <f ca="1">Surface!W45</f>
        <v>2.3180326910499995</v>
      </c>
      <c r="H13" s="125">
        <f ca="1">SubS!AE35</f>
        <v>6.5930924453625774</v>
      </c>
    </row>
    <row r="14" spans="3:8" x14ac:dyDescent="0.25">
      <c r="C14" s="126" t="s">
        <v>148</v>
      </c>
      <c r="D14" s="125">
        <f>Surface!F47</f>
        <v>6</v>
      </c>
      <c r="E14" s="125">
        <f>Surface!M47</f>
        <v>0</v>
      </c>
      <c r="F14" s="125">
        <f>Surface!T47</f>
        <v>3</v>
      </c>
      <c r="G14" s="125">
        <f>Surface!W47</f>
        <v>3</v>
      </c>
      <c r="H14" s="126"/>
    </row>
    <row r="15" spans="3:8" x14ac:dyDescent="0.25">
      <c r="C15" s="126"/>
      <c r="D15" s="126"/>
      <c r="E15" s="126"/>
      <c r="F15" s="126"/>
      <c r="G15" s="126"/>
      <c r="H15" s="126"/>
    </row>
    <row r="16" spans="3:8" x14ac:dyDescent="0.25">
      <c r="C16" s="126" t="s">
        <v>149</v>
      </c>
      <c r="D16" s="126"/>
      <c r="E16" s="126"/>
      <c r="F16" s="126"/>
      <c r="G16" s="126"/>
      <c r="H16" s="125">
        <f>SubS!AE36</f>
        <v>85.263665708431589</v>
      </c>
    </row>
    <row r="17" spans="3:8" x14ac:dyDescent="0.25">
      <c r="C17" s="126" t="s">
        <v>150</v>
      </c>
      <c r="D17" s="126"/>
      <c r="E17" s="126"/>
      <c r="F17" s="126"/>
      <c r="G17" s="126"/>
      <c r="H17" s="125">
        <f>SubS!AE37</f>
        <v>14.367925934279207</v>
      </c>
    </row>
    <row r="18" spans="3:8" x14ac:dyDescent="0.25">
      <c r="C18" s="126" t="s">
        <v>151</v>
      </c>
      <c r="D18" s="126"/>
      <c r="E18" s="126"/>
      <c r="F18" s="126"/>
      <c r="G18" s="126"/>
      <c r="H18" s="125">
        <f>SubS!AE38</f>
        <v>0.36840835728921045</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5" t="s">
        <v>152</v>
      </c>
    </row>
    <row r="2" spans="1:1" x14ac:dyDescent="0.25">
      <c r="A2" s="145"/>
    </row>
    <row r="3" spans="1:1" x14ac:dyDescent="0.25">
      <c r="A3" s="145" t="s">
        <v>155</v>
      </c>
    </row>
    <row r="4" spans="1:1" x14ac:dyDescent="0.25">
      <c r="A4" s="145"/>
    </row>
    <row r="5" spans="1:1" x14ac:dyDescent="0.25">
      <c r="A5" s="145" t="s">
        <v>156</v>
      </c>
    </row>
    <row r="6" spans="1:1" x14ac:dyDescent="0.25">
      <c r="A6" s="145"/>
    </row>
    <row r="7" spans="1:1" x14ac:dyDescent="0.25">
      <c r="A7" s="145" t="s">
        <v>153</v>
      </c>
    </row>
    <row r="8" spans="1:1" x14ac:dyDescent="0.25">
      <c r="A8" s="145"/>
    </row>
    <row r="9" spans="1:1" x14ac:dyDescent="0.25">
      <c r="A9" s="145"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2013-09-27T21:04:31Z</dcterms:created>
  <dcterms:modified xsi:type="dcterms:W3CDTF">2014-01-22T01:18:00Z</dcterms:modified>
</cp:coreProperties>
</file>