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4030" windowHeight="5745" activeTab="4"/>
  </bookViews>
  <sheets>
    <sheet name="SubS" sheetId="1" r:id="rId1"/>
    <sheet name="Surface" sheetId="2" r:id="rId2"/>
    <sheet name="Dist Chart" sheetId="4" r:id="rId3"/>
    <sheet name="Summary" sheetId="3" r:id="rId4"/>
    <sheet name="readme" sheetId="5" r:id="rId5"/>
  </sheets>
  <calcPr calcId="145621"/>
</workbook>
</file>

<file path=xl/calcChain.xml><?xml version="1.0" encoding="utf-8"?>
<calcChain xmlns="http://schemas.openxmlformats.org/spreadsheetml/2006/main">
  <c r="W41" i="2" l="1"/>
  <c r="W42" i="2"/>
  <c r="W43" i="2"/>
  <c r="W40" i="2"/>
  <c r="T43" i="2"/>
  <c r="T42" i="2"/>
  <c r="T41" i="2"/>
  <c r="T40" i="2"/>
  <c r="M43" i="2"/>
  <c r="M42" i="2"/>
  <c r="M41" i="2"/>
  <c r="M40" i="2"/>
  <c r="F42" i="2"/>
  <c r="F41" i="2"/>
  <c r="F40" i="2"/>
  <c r="F43" i="2"/>
  <c r="G14" i="3" l="1"/>
  <c r="F14" i="3"/>
  <c r="E14" i="3"/>
  <c r="D14" i="3"/>
  <c r="W29" i="2"/>
  <c r="V29" i="2"/>
  <c r="O29" i="2"/>
  <c r="O28" i="2"/>
  <c r="H29" i="2"/>
  <c r="V14" i="2"/>
  <c r="O14" i="2"/>
  <c r="O15" i="2" s="1"/>
  <c r="O16" i="2" s="1"/>
  <c r="O17" i="2" s="1"/>
  <c r="O18" i="2" s="1"/>
  <c r="O19" i="2" s="1"/>
  <c r="O20" i="2" s="1"/>
  <c r="H14" i="2"/>
  <c r="H15" i="2" s="1"/>
  <c r="H16" i="2" s="1"/>
  <c r="H17" i="2" s="1"/>
  <c r="H18" i="2" s="1"/>
  <c r="H19" i="2" s="1"/>
  <c r="H20" i="2" s="1"/>
  <c r="W13" i="2"/>
  <c r="V12" i="2"/>
  <c r="T47" i="2" s="1"/>
  <c r="O12" i="2"/>
  <c r="M47" i="2" s="1"/>
  <c r="H12" i="2"/>
  <c r="F47" i="2" s="1"/>
  <c r="AE26" i="1"/>
  <c r="AE17" i="1"/>
  <c r="AF17" i="1" s="1"/>
  <c r="AE15" i="1"/>
  <c r="AF15" i="1" s="1"/>
  <c r="AF14" i="1"/>
  <c r="AE14" i="1"/>
  <c r="AE13" i="1"/>
  <c r="AF13" i="1" s="1"/>
  <c r="AE12" i="1"/>
  <c r="AF12" i="1" s="1"/>
  <c r="AE11" i="1"/>
  <c r="AF11" i="1" s="1"/>
  <c r="AF10" i="1"/>
  <c r="AE10" i="1"/>
  <c r="AE9" i="1"/>
  <c r="AF9" i="1" s="1"/>
  <c r="AE8" i="1"/>
  <c r="AH3" i="1"/>
  <c r="AF4" i="1" s="1"/>
  <c r="W14" i="2" l="1"/>
  <c r="E8" i="3"/>
  <c r="O21" i="2"/>
  <c r="O22" i="2" s="1"/>
  <c r="O23" i="2" s="1"/>
  <c r="O24" i="2" s="1"/>
  <c r="O25" i="2" s="1"/>
  <c r="O26" i="2" s="1"/>
  <c r="O27" i="2" s="1"/>
  <c r="H21" i="2"/>
  <c r="H22" i="2" s="1"/>
  <c r="H23" i="2" s="1"/>
  <c r="H24" i="2" s="1"/>
  <c r="H25" i="2" s="1"/>
  <c r="H26" i="2" s="1"/>
  <c r="W47" i="2"/>
  <c r="V15" i="2"/>
  <c r="AF26" i="1"/>
  <c r="AF2" i="1"/>
  <c r="AF8" i="1"/>
  <c r="H42" i="1"/>
  <c r="H40" i="1"/>
  <c r="H39" i="1"/>
  <c r="H38" i="1"/>
  <c r="H37" i="1"/>
  <c r="H36" i="1"/>
  <c r="H35" i="1"/>
  <c r="H34" i="1"/>
  <c r="H33" i="1"/>
  <c r="H32" i="1"/>
  <c r="H31" i="1"/>
  <c r="H30" i="1"/>
  <c r="I30" i="1" s="1"/>
  <c r="I31" i="1" s="1"/>
  <c r="I32" i="1" s="1"/>
  <c r="I33" i="1" s="1"/>
  <c r="I34" i="1" s="1"/>
  <c r="I35" i="1" s="1"/>
  <c r="I36" i="1" s="1"/>
  <c r="I37" i="1" s="1"/>
  <c r="C41" i="1"/>
  <c r="F41" i="1"/>
  <c r="H41" i="1" s="1"/>
  <c r="G41" i="1"/>
  <c r="E21" i="1"/>
  <c r="E20" i="1"/>
  <c r="E19" i="1"/>
  <c r="E18" i="1"/>
  <c r="E17" i="1"/>
  <c r="E16" i="1"/>
  <c r="E15" i="1"/>
  <c r="E14" i="1"/>
  <c r="I38" i="1" l="1"/>
  <c r="I39" i="1" s="1"/>
  <c r="I40" i="1" s="1"/>
  <c r="I41" i="1" s="1"/>
  <c r="AE16" i="1"/>
  <c r="D9" i="3"/>
  <c r="W15" i="2"/>
  <c r="V16" i="2"/>
  <c r="H27" i="2"/>
  <c r="E9" i="3"/>
  <c r="D8" i="3"/>
  <c r="E10" i="3"/>
  <c r="E11" i="3"/>
  <c r="AG8" i="1"/>
  <c r="E24" i="1"/>
  <c r="D41" i="1"/>
  <c r="H45" i="1"/>
  <c r="D24" i="1"/>
  <c r="C24" i="1"/>
  <c r="AF16" i="1" l="1"/>
  <c r="AF27" i="1" s="1"/>
  <c r="AE27" i="1"/>
  <c r="M45" i="2"/>
  <c r="E13" i="3" s="1"/>
  <c r="H28" i="2"/>
  <c r="D11" i="3" s="1"/>
  <c r="W16" i="2"/>
  <c r="V17" i="2"/>
  <c r="AH8" i="1"/>
  <c r="AK8" i="1" s="1"/>
  <c r="AG9" i="1"/>
  <c r="F45" i="2" l="1"/>
  <c r="D13" i="3" s="1"/>
  <c r="D10" i="3"/>
  <c r="W17" i="2"/>
  <c r="V18" i="2"/>
  <c r="AH9" i="1"/>
  <c r="AK9" i="1" s="1"/>
  <c r="AG10" i="1"/>
  <c r="W18" i="2" l="1"/>
  <c r="V19" i="2"/>
  <c r="AH10" i="1"/>
  <c r="AK10" i="1" s="1"/>
  <c r="AG11" i="1"/>
  <c r="W19" i="2" l="1"/>
  <c r="V20" i="2"/>
  <c r="AH11" i="1"/>
  <c r="AK11" i="1" s="1"/>
  <c r="AG12" i="1"/>
  <c r="W20" i="2" l="1"/>
  <c r="V21" i="2"/>
  <c r="AH12" i="1"/>
  <c r="AK12" i="1" s="1"/>
  <c r="AG13" i="1"/>
  <c r="W21" i="2" l="1"/>
  <c r="V22" i="2"/>
  <c r="AH13" i="1"/>
  <c r="AK13" i="1" s="1"/>
  <c r="AE32" i="1" s="1"/>
  <c r="H10" i="3" s="1"/>
  <c r="AG14" i="1"/>
  <c r="AE33" i="1"/>
  <c r="H11" i="3" s="1"/>
  <c r="W22" i="2" l="1"/>
  <c r="V23" i="2"/>
  <c r="AH14" i="1"/>
  <c r="AK14" i="1" s="1"/>
  <c r="AG15" i="1"/>
  <c r="W23" i="2" l="1"/>
  <c r="V24" i="2"/>
  <c r="F8" i="3" s="1"/>
  <c r="AH15" i="1"/>
  <c r="AK15" i="1" s="1"/>
  <c r="AG16" i="1"/>
  <c r="W24" i="2" l="1"/>
  <c r="G8" i="3" s="1"/>
  <c r="V25" i="2"/>
  <c r="AH16" i="1"/>
  <c r="AK16" i="1" s="1"/>
  <c r="AG17" i="1"/>
  <c r="AH17" i="1" s="1"/>
  <c r="F9" i="3" l="1"/>
  <c r="W25" i="2"/>
  <c r="V26" i="2"/>
  <c r="G9" i="3"/>
  <c r="AK17" i="1"/>
  <c r="AJ25" i="1"/>
  <c r="AK25" i="1" s="1"/>
  <c r="AJ23" i="1"/>
  <c r="AK23" i="1" s="1"/>
  <c r="AJ21" i="1"/>
  <c r="AK21" i="1" s="1"/>
  <c r="AJ19" i="1"/>
  <c r="AK19" i="1" s="1"/>
  <c r="AJ17" i="1"/>
  <c r="AJ24" i="1"/>
  <c r="AK24" i="1" s="1"/>
  <c r="AJ22" i="1"/>
  <c r="AK22" i="1" s="1"/>
  <c r="AJ20" i="1"/>
  <c r="AK20" i="1" s="1"/>
  <c r="AJ18" i="1"/>
  <c r="AK18" i="1" s="1"/>
  <c r="V27" i="2" l="1"/>
  <c r="W26" i="2"/>
  <c r="AE38" i="1"/>
  <c r="H18" i="3" s="1"/>
  <c r="AE31" i="1"/>
  <c r="H9" i="3" s="1"/>
  <c r="AE30" i="1"/>
  <c r="H8" i="3" s="1"/>
  <c r="AE37" i="1"/>
  <c r="H17" i="3" s="1"/>
  <c r="AE36" i="1"/>
  <c r="H16" i="3" s="1"/>
  <c r="V28" i="2" l="1"/>
  <c r="W28" i="2" s="1"/>
  <c r="W27" i="2"/>
  <c r="AE35" i="1"/>
  <c r="H13" i="3" s="1"/>
  <c r="G11" i="3" l="1"/>
  <c r="F11" i="3"/>
  <c r="T45" i="2" l="1"/>
  <c r="F13" i="3" s="1"/>
  <c r="F10" i="3"/>
  <c r="W45" i="2"/>
  <c r="G13" i="3" s="1"/>
  <c r="G10" i="3"/>
</calcChain>
</file>

<file path=xl/sharedStrings.xml><?xml version="1.0" encoding="utf-8"?>
<sst xmlns="http://schemas.openxmlformats.org/spreadsheetml/2006/main" count="190" uniqueCount="143">
  <si>
    <t>Results Analysis</t>
  </si>
  <si>
    <t>Field Sieve Data Sheet</t>
  </si>
  <si>
    <t>Wet -16 mm Weight</t>
  </si>
  <si>
    <t>lbs</t>
  </si>
  <si>
    <t>River:</t>
  </si>
  <si>
    <t>Skull Creek</t>
  </si>
  <si>
    <t xml:space="preserve">  Crew:</t>
  </si>
  <si>
    <t>DT, MH, RV</t>
  </si>
  <si>
    <t>Dry -16 mm Weight</t>
  </si>
  <si>
    <t>g  =</t>
  </si>
  <si>
    <t>Date / Time:</t>
  </si>
  <si>
    <t xml:space="preserve">  PRM:</t>
  </si>
  <si>
    <t>% Moisture</t>
  </si>
  <si>
    <t>Field Book #</t>
  </si>
  <si>
    <t xml:space="preserve">  Comments:</t>
  </si>
  <si>
    <t>Lower Fan of Skull Creek</t>
  </si>
  <si>
    <t>Sample Location:</t>
  </si>
  <si>
    <t>Lower skull creek fan</t>
  </si>
  <si>
    <t>Notes illegible see pdf.</t>
  </si>
  <si>
    <t>Field Sieve Results</t>
  </si>
  <si>
    <t>Surface/Sub     Subsurface       Bank      Trib Fan      Trib Chan</t>
  </si>
  <si>
    <t>Raw</t>
  </si>
  <si>
    <t>Adjusted for Moisture</t>
  </si>
  <si>
    <t>Cumulative Weight</t>
  </si>
  <si>
    <t>% Finer Field</t>
  </si>
  <si>
    <t>%Finer Lab</t>
  </si>
  <si>
    <t>Adjusted % Finer Lab</t>
  </si>
  <si>
    <t>Compiled Resuts</t>
  </si>
  <si>
    <t>Waypoint(s):</t>
  </si>
  <si>
    <t>GPS 1</t>
  </si>
  <si>
    <t>Susitna R confluence.</t>
  </si>
  <si>
    <t>For channel profile in LWZ Susina-01 with photo notes</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</si>
  <si>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</si>
  <si>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</si>
  <si>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</si>
  <si>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</si>
  <si>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</si>
  <si>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</si>
  <si>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</si>
  <si>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</si>
  <si>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</si>
  <si>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</si>
  <si>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</si>
  <si>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</si>
  <si>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</si>
  <si>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Photo Log</t>
  </si>
  <si>
    <t xml:space="preserve">  </t>
  </si>
  <si>
    <t>Number</t>
  </si>
  <si>
    <t>Description</t>
  </si>
  <si>
    <t>P4173</t>
  </si>
  <si>
    <t>Surface (MDH camera)</t>
  </si>
  <si>
    <t>Totals</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</si>
  <si>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</si>
  <si>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</si>
  <si>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</si>
  <si>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</si>
  <si>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</si>
  <si>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</si>
  <si>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</si>
  <si>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</si>
  <si>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</si>
  <si>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</si>
  <si>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</si>
  <si>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</si>
  <si>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</si>
  <si>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</si>
  <si>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</si>
  <si>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</si>
  <si>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</si>
  <si>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</si>
  <si>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</si>
  <si>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</si>
  <si>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</si>
  <si>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</si>
  <si>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</si>
  <si>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</si>
  <si>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</si>
  <si>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</si>
  <si>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</si>
  <si>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408.1-405.6</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</si>
  <si>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</si>
  <si>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</si>
  <si>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</si>
  <si>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</si>
  <si>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LWZ</t>
  </si>
  <si>
    <t>Photo Backup #</t>
  </si>
  <si>
    <t>Page:</t>
  </si>
  <si>
    <t>1 of 1</t>
  </si>
  <si>
    <t>Pebble Count Data Sheet</t>
  </si>
  <si>
    <t>River / Tributary:</t>
  </si>
  <si>
    <t xml:space="preserve">Susitna/Skull </t>
  </si>
  <si>
    <t>Crew:</t>
  </si>
  <si>
    <t>DT, RV, RT, MH, LZ, MM</t>
  </si>
  <si>
    <t xml:space="preserve">Site: </t>
  </si>
  <si>
    <t>Skull Cr</t>
  </si>
  <si>
    <t xml:space="preserve">PRM: </t>
  </si>
  <si>
    <t xml:space="preserve">  PRM: </t>
  </si>
  <si>
    <t>Length &amp; Interval:</t>
  </si>
  <si>
    <t>100', 1'</t>
  </si>
  <si>
    <t>Comments:</t>
  </si>
  <si>
    <t>Left transect start at X52-bldr step (boulder count in RAV susitna-01_</t>
  </si>
  <si>
    <t>Additional Comments</t>
  </si>
  <si>
    <t>Photo(s) #</t>
  </si>
  <si>
    <t>Size (mm)</t>
  </si>
  <si>
    <t>Left</t>
  </si>
  <si>
    <t>Sum</t>
  </si>
  <si>
    <t xml:space="preserve">Cum % </t>
  </si>
  <si>
    <t>Center</t>
  </si>
  <si>
    <t>Right</t>
  </si>
  <si>
    <t>Cum Ave</t>
  </si>
  <si>
    <t>&lt; 2</t>
  </si>
  <si>
    <t>Photo #</t>
  </si>
  <si>
    <t>LEFT  COUNT</t>
  </si>
  <si>
    <t>CENTER  COUNT</t>
  </si>
  <si>
    <t>RIGHT  COUNT</t>
  </si>
  <si>
    <t>QC1______________</t>
  </si>
  <si>
    <t>Photo Backup_____________</t>
  </si>
  <si>
    <t>Page _____ of ______</t>
  </si>
  <si>
    <t>D%</t>
  </si>
  <si>
    <t>Gr</t>
  </si>
  <si>
    <t>%Gravel</t>
  </si>
  <si>
    <t>%Sand</t>
  </si>
  <si>
    <t>%Silt/Clay</t>
  </si>
  <si>
    <t>Page _1____ of ___1___</t>
  </si>
  <si>
    <t>Average</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</si>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</sst>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8" x14ac:knownFonts="1">
    <font>
      <sz val="11"/>
      <color theme="1"/>
      <name val="Calibri"/>
      <family val="2"/>
      <scheme val="minor"/>
    </font>
    <font>
      <sz val="11"/>
      <color theme="1"/>
      <name val="Calibri"/>
      <family val="2"/>
      <scheme val="minor"/>
    </font>
    <font>
      <sz val="11"/>
      <color theme="1"/>
      <name val="Arial"/>
      <family val="2"/>
    </font>
    <font>
      <sz val="18"/>
      <color theme="1"/>
      <name val="Arial"/>
      <family val="2"/>
    </font>
    <font>
      <b/>
      <sz val="14"/>
      <color theme="1"/>
      <name val="Arial"/>
      <family val="2"/>
    </font>
    <font>
      <vertAlign val="subscript"/>
      <sz val="11"/>
      <color theme="1"/>
      <name val="Arial"/>
      <family val="2"/>
    </font>
    <font>
      <i/>
      <sz val="8"/>
      <color theme="1"/>
      <name val="Arial"/>
      <family val="2"/>
    </font>
    <font>
      <i/>
      <sz val="11"/>
      <color theme="1"/>
      <name val="Arial"/>
      <family val="2"/>
    </font>
    <font>
      <u/>
      <sz val="10"/>
      <color theme="1"/>
      <name val="Arial"/>
      <family val="2"/>
    </font>
    <font>
      <sz val="10"/>
      <color theme="1"/>
      <name val="Arial"/>
      <family val="2"/>
    </font>
    <font>
      <u/>
      <sz val="11"/>
      <color theme="1"/>
      <name val="Arial"/>
      <family val="2"/>
    </font>
    <font>
      <sz val="9"/>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sz val="13.75"/>
      <color rgb="FF000000"/>
      <name val="Arial"/>
      <family val="2"/>
    </font>
    <font>
      <u/>
      <sz val="9"/>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83">
    <xf numFmtId="0" fontId="0" fillId="0" borderId="0" xfId="0"/>
    <xf numFmtId="0" fontId="2" fillId="0" borderId="0" xfId="0" applyFont="1"/>
    <xf numFmtId="164" fontId="2" fillId="0" borderId="0" xfId="0" applyNumberFormat="1" applyFont="1"/>
    <xf numFmtId="0" fontId="2" fillId="0" borderId="0" xfId="0" applyFont="1" applyBorder="1"/>
    <xf numFmtId="0" fontId="2" fillId="0" borderId="1" xfId="0" applyFont="1" applyBorder="1"/>
    <xf numFmtId="0" fontId="2" fillId="0" borderId="1" xfId="0" applyFont="1" applyBorder="1" applyAlignment="1">
      <alignment horizontal="center"/>
    </xf>
    <xf numFmtId="0" fontId="2" fillId="2" borderId="0" xfId="0" applyFont="1" applyFill="1"/>
    <xf numFmtId="2" fontId="2" fillId="0" borderId="0" xfId="0" applyNumberFormat="1" applyFont="1"/>
    <xf numFmtId="14" fontId="2" fillId="0" borderId="2" xfId="0" applyNumberFormat="1" applyFont="1" applyBorder="1"/>
    <xf numFmtId="20" fontId="2" fillId="0" borderId="2" xfId="0" applyNumberFormat="1" applyFont="1" applyBorder="1" applyAlignment="1">
      <alignment horizontal="center"/>
    </xf>
    <xf numFmtId="0" fontId="2" fillId="0" borderId="2" xfId="0" applyFont="1" applyBorder="1"/>
    <xf numFmtId="0" fontId="2" fillId="0" borderId="0" xfId="0" quotePrefix="1" applyFont="1"/>
    <xf numFmtId="9" fontId="2" fillId="0" borderId="0" xfId="1" applyFont="1"/>
    <xf numFmtId="0" fontId="2" fillId="0" borderId="2" xfId="0" applyFont="1" applyBorder="1" applyAlignment="1">
      <alignment horizontal="center"/>
    </xf>
    <xf numFmtId="0" fontId="2" fillId="0" borderId="2" xfId="0" applyFont="1" applyBorder="1" applyAlignment="1">
      <alignment horizontal="left"/>
    </xf>
    <xf numFmtId="0" fontId="2" fillId="0" borderId="6" xfId="0" applyFont="1" applyBorder="1" applyAlignment="1">
      <alignment horizontal="center" wrapText="1"/>
    </xf>
    <xf numFmtId="0" fontId="2" fillId="0" borderId="6" xfId="0" applyFont="1" applyBorder="1" applyAlignment="1">
      <alignment horizontal="center" vertical="center" wrapText="1"/>
    </xf>
    <xf numFmtId="0" fontId="2" fillId="0" borderId="6" xfId="0" applyFont="1" applyBorder="1"/>
    <xf numFmtId="9" fontId="2" fillId="0" borderId="6" xfId="1" applyFont="1" applyBorder="1"/>
    <xf numFmtId="0" fontId="2" fillId="3" borderId="6" xfId="0" applyFont="1" applyFill="1" applyBorder="1"/>
    <xf numFmtId="43" fontId="2" fillId="0" borderId="6" xfId="0" applyNumberFormat="1" applyFont="1" applyBorder="1"/>
    <xf numFmtId="164" fontId="2" fillId="0" borderId="6" xfId="0" applyNumberFormat="1" applyFont="1" applyBorder="1"/>
    <xf numFmtId="0" fontId="2" fillId="0" borderId="10" xfId="0" applyFont="1" applyBorder="1"/>
    <xf numFmtId="0" fontId="2" fillId="0" borderId="11" xfId="0" quotePrefix="1" applyFont="1" applyBorder="1" applyAlignment="1">
      <alignment horizontal="center"/>
    </xf>
    <xf numFmtId="0" fontId="2" fillId="0" borderId="0" xfId="0" applyFont="1" applyAlignment="1">
      <alignment horizontal="right"/>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2" xfId="0" quotePrefix="1" applyFont="1" applyBorder="1" applyAlignment="1">
      <alignment horizontal="right"/>
    </xf>
    <xf numFmtId="0" fontId="6" fillId="0" borderId="6" xfId="0" applyFont="1" applyBorder="1" applyAlignment="1">
      <alignment horizontal="center" vertical="center" wrapText="1"/>
    </xf>
    <xf numFmtId="0" fontId="2" fillId="0" borderId="6" xfId="0" applyFont="1" applyBorder="1" applyAlignment="1">
      <alignment horizontal="center" vertical="center"/>
    </xf>
    <xf numFmtId="164" fontId="2" fillId="0" borderId="6"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6" xfId="0" applyFont="1" applyFill="1" applyBorder="1"/>
    <xf numFmtId="0" fontId="2" fillId="0" borderId="6" xfId="0" applyFont="1" applyBorder="1" applyAlignment="1">
      <alignment horizontal="center"/>
    </xf>
    <xf numFmtId="0" fontId="2" fillId="0" borderId="0" xfId="0" applyFont="1" applyBorder="1" applyAlignment="1"/>
    <xf numFmtId="0" fontId="2" fillId="0" borderId="0" xfId="0" applyFont="1" applyBorder="1" applyAlignment="1">
      <alignment horizontal="center"/>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center"/>
    </xf>
    <xf numFmtId="0" fontId="2" fillId="0" borderId="0" xfId="0" applyFont="1" applyBorder="1" applyAlignment="1">
      <alignment horizontal="right" vertical="center"/>
    </xf>
    <xf numFmtId="0" fontId="4" fillId="0" borderId="0" xfId="0" applyFont="1" applyBorder="1" applyAlignment="1">
      <alignment vertical="center"/>
    </xf>
    <xf numFmtId="0" fontId="2" fillId="0" borderId="6" xfId="0" quotePrefix="1" applyFont="1" applyBorder="1" applyAlignment="1">
      <alignment horizontal="center"/>
    </xf>
    <xf numFmtId="0" fontId="2" fillId="0" borderId="0" xfId="0" quotePrefix="1" applyFont="1" applyBorder="1" applyAlignment="1">
      <alignment horizontal="center"/>
    </xf>
    <xf numFmtId="0" fontId="2" fillId="0" borderId="6" xfId="0" applyFont="1" applyFill="1" applyBorder="1" applyAlignment="1">
      <alignment horizontal="center" vertical="center" wrapText="1"/>
    </xf>
    <xf numFmtId="0" fontId="2" fillId="0" borderId="0" xfId="0" applyFont="1" applyBorder="1" applyAlignment="1">
      <alignment horizontal="center" vertical="center" wrapText="1"/>
    </xf>
    <xf numFmtId="0" fontId="6" fillId="0" borderId="0" xfId="0" applyFont="1" applyBorder="1" applyAlignment="1">
      <alignment horizontal="center" vertical="center" wrapText="1"/>
    </xf>
    <xf numFmtId="164" fontId="2" fillId="0" borderId="6" xfId="0" applyNumberFormat="1" applyFont="1" applyBorder="1" applyAlignment="1">
      <alignment horizontal="center" vertical="center" wrapText="1"/>
    </xf>
    <xf numFmtId="164" fontId="2" fillId="0" borderId="6" xfId="0" quotePrefix="1" applyNumberFormat="1" applyFont="1" applyBorder="1" applyAlignment="1">
      <alignment horizontal="center"/>
    </xf>
    <xf numFmtId="0" fontId="2" fillId="0" borderId="0" xfId="0" quotePrefix="1" applyFont="1" applyBorder="1" applyAlignment="1">
      <alignment horizontal="center" wrapText="1"/>
    </xf>
    <xf numFmtId="0" fontId="2" fillId="4" borderId="6" xfId="0" applyFont="1" applyFill="1" applyBorder="1" applyAlignment="1">
      <alignment horizontal="center" wrapText="1"/>
    </xf>
    <xf numFmtId="0" fontId="2" fillId="4" borderId="6" xfId="0" applyFont="1" applyFill="1" applyBorder="1" applyAlignment="1">
      <alignment horizontal="center" vertical="center"/>
    </xf>
    <xf numFmtId="0" fontId="2" fillId="0" borderId="12" xfId="0" applyFont="1" applyFill="1" applyBorder="1"/>
    <xf numFmtId="0" fontId="2" fillId="0" borderId="2" xfId="0" applyFont="1" applyFill="1" applyBorder="1"/>
    <xf numFmtId="0" fontId="2" fillId="0" borderId="13" xfId="0" applyFont="1" applyFill="1" applyBorder="1"/>
    <xf numFmtId="0" fontId="7"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7" fillId="0" borderId="0" xfId="0" applyFont="1" applyAlignment="1">
      <alignment vertical="top" wrapText="1"/>
    </xf>
    <xf numFmtId="0" fontId="10" fillId="0" borderId="1" xfId="0" applyFont="1" applyBorder="1"/>
    <xf numFmtId="0" fontId="2" fillId="0" borderId="1" xfId="0" applyFont="1" applyBorder="1" applyAlignment="1">
      <alignment horizontal="left"/>
    </xf>
    <xf numFmtId="0" fontId="11" fillId="0" borderId="0" xfId="0" applyFont="1"/>
    <xf numFmtId="0" fontId="3" fillId="0" borderId="0" xfId="0" applyFont="1" applyAlignment="1"/>
    <xf numFmtId="0" fontId="3" fillId="0" borderId="0" xfId="0" applyFont="1" applyAlignment="1">
      <alignment horizontal="center"/>
    </xf>
    <xf numFmtId="0" fontId="11" fillId="0" borderId="0" xfId="0" applyFont="1" applyAlignment="1">
      <alignment horizontal="center"/>
    </xf>
    <xf numFmtId="0" fontId="11" fillId="0" borderId="0" xfId="0" applyFont="1" applyBorder="1"/>
    <xf numFmtId="0" fontId="2" fillId="0" borderId="2" xfId="0" quotePrefix="1" applyFont="1" applyBorder="1"/>
    <xf numFmtId="0" fontId="2" fillId="0" borderId="0" xfId="0" quotePrefix="1" applyFont="1" applyBorder="1"/>
    <xf numFmtId="0" fontId="2" fillId="0" borderId="1" xfId="0" quotePrefix="1" applyFont="1" applyBorder="1"/>
    <xf numFmtId="0" fontId="2" fillId="0" borderId="0" xfId="0" applyFont="1" applyBorder="1" applyAlignment="1">
      <alignment horizontal="right"/>
    </xf>
    <xf numFmtId="0" fontId="12" fillId="0" borderId="0" xfId="0" applyFont="1" applyFill="1" applyBorder="1" applyAlignment="1">
      <alignment horizontal="center"/>
    </xf>
    <xf numFmtId="0" fontId="1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Border="1" applyAlignment="1">
      <alignment horizontal="center" vertical="center"/>
    </xf>
    <xf numFmtId="0" fontId="2" fillId="0" borderId="19" xfId="0" applyFont="1" applyFill="1" applyBorder="1" applyAlignment="1">
      <alignment horizontal="right" vertical="center" wrapText="1"/>
    </xf>
    <xf numFmtId="0" fontId="2" fillId="0" borderId="19" xfId="0" applyFont="1" applyFill="1" applyBorder="1" applyAlignment="1">
      <alignment vertical="center" wrapText="1"/>
    </xf>
    <xf numFmtId="0" fontId="2" fillId="0" borderId="19" xfId="0" applyFont="1" applyFill="1" applyBorder="1" applyAlignment="1">
      <alignment horizontal="right"/>
    </xf>
    <xf numFmtId="0" fontId="2" fillId="0" borderId="6" xfId="0" applyFont="1" applyFill="1" applyBorder="1"/>
    <xf numFmtId="0" fontId="2" fillId="0" borderId="0" xfId="0" applyFont="1" applyFill="1" applyBorder="1"/>
    <xf numFmtId="0" fontId="2" fillId="0" borderId="6" xfId="0" applyFont="1" applyFill="1" applyBorder="1" applyAlignment="1">
      <alignment horizontal="right" vertical="center" wrapText="1"/>
    </xf>
    <xf numFmtId="0" fontId="2" fillId="0" borderId="6" xfId="0" applyFont="1" applyFill="1" applyBorder="1" applyAlignment="1"/>
    <xf numFmtId="0" fontId="2" fillId="0" borderId="6" xfId="0" applyFont="1" applyFill="1" applyBorder="1" applyAlignment="1">
      <alignment horizontal="right"/>
    </xf>
    <xf numFmtId="164" fontId="2" fillId="0" borderId="6" xfId="0" applyNumberFormat="1" applyFont="1" applyFill="1" applyBorder="1"/>
    <xf numFmtId="0" fontId="15" fillId="0" borderId="0" xfId="0" applyFont="1" applyFill="1" applyBorder="1" applyAlignment="1"/>
    <xf numFmtId="0" fontId="10"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10" fillId="0" borderId="6" xfId="0" applyFont="1" applyFill="1" applyBorder="1" applyAlignment="1"/>
    <xf numFmtId="0" fontId="2" fillId="0" borderId="6" xfId="0" applyFont="1" applyFill="1" applyBorder="1" applyAlignment="1">
      <alignment vertical="center"/>
    </xf>
    <xf numFmtId="0" fontId="2" fillId="0" borderId="6" xfId="0" quotePrefix="1" applyFont="1" applyFill="1" applyBorder="1" applyAlignment="1"/>
    <xf numFmtId="0" fontId="2" fillId="0" borderId="6" xfId="0" applyFont="1" applyFill="1" applyBorder="1" applyAlignment="1">
      <alignment horizontal="right" vertical="center"/>
    </xf>
    <xf numFmtId="0" fontId="2" fillId="0" borderId="6" xfId="0" applyFont="1" applyFill="1" applyBorder="1" applyAlignment="1">
      <alignment vertical="center" wrapText="1"/>
    </xf>
    <xf numFmtId="0" fontId="2" fillId="0" borderId="26" xfId="0" applyFont="1" applyFill="1" applyBorder="1" applyAlignment="1">
      <alignment horizontal="right" vertical="center" wrapText="1"/>
    </xf>
    <xf numFmtId="0" fontId="2" fillId="0" borderId="26" xfId="0" applyFont="1" applyFill="1" applyBorder="1" applyAlignment="1"/>
    <xf numFmtId="0" fontId="2" fillId="0" borderId="26" xfId="0" applyFont="1" applyFill="1" applyBorder="1" applyAlignment="1">
      <alignment horizontal="right" vertical="center"/>
    </xf>
    <xf numFmtId="164" fontId="2" fillId="0" borderId="0" xfId="0" applyNumberFormat="1" applyFont="1" applyFill="1" applyBorder="1"/>
    <xf numFmtId="0" fontId="16" fillId="0" borderId="0" xfId="0" applyFont="1" applyBorder="1"/>
    <xf numFmtId="0" fontId="11" fillId="0" borderId="0" xfId="0" applyFont="1" applyFill="1" applyBorder="1"/>
    <xf numFmtId="0" fontId="2" fillId="0" borderId="0" xfId="0" applyFont="1" applyFill="1" applyBorder="1" applyAlignment="1">
      <alignment horizontal="center"/>
    </xf>
    <xf numFmtId="0" fontId="10" fillId="0" borderId="27" xfId="0" applyFont="1" applyFill="1" applyBorder="1" applyAlignment="1"/>
    <xf numFmtId="0" fontId="10" fillId="0" borderId="18" xfId="0" applyFont="1" applyFill="1" applyBorder="1" applyAlignment="1"/>
    <xf numFmtId="0" fontId="10" fillId="0" borderId="30" xfId="0" applyFont="1" applyFill="1" applyBorder="1" applyAlignment="1"/>
    <xf numFmtId="0" fontId="10" fillId="0" borderId="13" xfId="0" applyFont="1" applyFill="1" applyBorder="1" applyAlignment="1"/>
    <xf numFmtId="0" fontId="2" fillId="0" borderId="0" xfId="0" applyFont="1" applyBorder="1" applyAlignment="1">
      <alignment horizontal="center" vertical="center"/>
    </xf>
    <xf numFmtId="0" fontId="4" fillId="0" borderId="0" xfId="0" applyFont="1" applyFill="1" applyBorder="1" applyAlignment="1">
      <alignment vertical="center"/>
    </xf>
    <xf numFmtId="0" fontId="10" fillId="0" borderId="32" xfId="0" applyFont="1" applyFill="1" applyBorder="1" applyAlignment="1"/>
    <xf numFmtId="0" fontId="10" fillId="0" borderId="25" xfId="0" applyFont="1" applyFill="1" applyBorder="1" applyAlignment="1"/>
    <xf numFmtId="0" fontId="10" fillId="0" borderId="33" xfId="0" applyFont="1" applyFill="1" applyBorder="1" applyAlignment="1"/>
    <xf numFmtId="0" fontId="10" fillId="0" borderId="34" xfId="0" applyFont="1" applyFill="1" applyBorder="1" applyAlignment="1"/>
    <xf numFmtId="0" fontId="17" fillId="0" borderId="0" xfId="0" applyFont="1" applyFill="1" applyBorder="1" applyAlignment="1"/>
    <xf numFmtId="0" fontId="2" fillId="0" borderId="0" xfId="0" applyFont="1" applyFill="1" applyBorder="1" applyAlignment="1">
      <alignment horizontal="left"/>
    </xf>
    <xf numFmtId="0" fontId="2" fillId="0" borderId="0" xfId="0" applyFont="1" applyFill="1" applyBorder="1" applyAlignment="1">
      <alignment horizontal="center"/>
    </xf>
    <xf numFmtId="164" fontId="2" fillId="5" borderId="6" xfId="0" applyNumberFormat="1" applyFont="1" applyFill="1" applyBorder="1" applyAlignment="1">
      <alignment horizontal="center"/>
    </xf>
    <xf numFmtId="164" fontId="2" fillId="5" borderId="14" xfId="0" applyNumberFormat="1" applyFont="1" applyFill="1" applyBorder="1" applyAlignment="1">
      <alignment horizontal="center"/>
    </xf>
    <xf numFmtId="164" fontId="2" fillId="0" borderId="0" xfId="0" applyNumberFormat="1" applyFont="1" applyBorder="1" applyAlignment="1">
      <alignment horizontal="center"/>
    </xf>
    <xf numFmtId="0" fontId="2" fillId="5" borderId="6" xfId="0" applyFont="1" applyFill="1" applyBorder="1" applyAlignment="1">
      <alignment horizontal="center" vertical="center" wrapText="1"/>
    </xf>
    <xf numFmtId="164" fontId="2" fillId="5" borderId="6" xfId="0" applyNumberFormat="1" applyFont="1" applyFill="1" applyBorder="1" applyAlignment="1">
      <alignment horizontal="center" vertical="center" wrapText="1"/>
    </xf>
    <xf numFmtId="164" fontId="2" fillId="5" borderId="6" xfId="0" applyNumberFormat="1" applyFont="1" applyFill="1" applyBorder="1"/>
    <xf numFmtId="0" fontId="2" fillId="5" borderId="6" xfId="0" applyFont="1" applyFill="1" applyBorder="1"/>
    <xf numFmtId="0" fontId="2" fillId="5" borderId="15" xfId="0" applyFont="1" applyFill="1" applyBorder="1"/>
    <xf numFmtId="165" fontId="2" fillId="5" borderId="0" xfId="1" applyNumberFormat="1" applyFont="1" applyFill="1"/>
    <xf numFmtId="164" fontId="2" fillId="5" borderId="6" xfId="0" applyNumberFormat="1" applyFont="1" applyFill="1" applyBorder="1" applyAlignment="1">
      <alignment horizontal="left"/>
    </xf>
    <xf numFmtId="164" fontId="2" fillId="5" borderId="6" xfId="0" quotePrefix="1" applyNumberFormat="1" applyFont="1" applyFill="1" applyBorder="1" applyAlignment="1">
      <alignment horizontal="left"/>
    </xf>
    <xf numFmtId="0" fontId="2" fillId="5" borderId="6" xfId="0" applyFont="1" applyFill="1" applyBorder="1" applyAlignment="1">
      <alignment horizontal="left"/>
    </xf>
    <xf numFmtId="9" fontId="2" fillId="0" borderId="6"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16" xfId="0" quotePrefix="1" applyFont="1" applyFill="1" applyBorder="1" applyAlignment="1">
      <alignment horizontal="center" vertical="center"/>
    </xf>
    <xf numFmtId="0" fontId="2" fillId="5" borderId="20" xfId="0" applyFont="1" applyFill="1" applyBorder="1" applyAlignment="1">
      <alignment horizontal="right" vertical="center" wrapText="1"/>
    </xf>
    <xf numFmtId="0" fontId="2" fillId="5" borderId="17" xfId="0" quotePrefix="1" applyFont="1" applyFill="1" applyBorder="1" applyAlignment="1">
      <alignment horizontal="center" vertical="center"/>
    </xf>
    <xf numFmtId="0" fontId="2" fillId="5" borderId="21" xfId="0" quotePrefix="1" applyFont="1" applyFill="1" applyBorder="1" applyAlignment="1">
      <alignment horizontal="center" vertical="center"/>
    </xf>
    <xf numFmtId="0" fontId="2" fillId="5" borderId="22" xfId="0" applyFont="1" applyFill="1" applyBorder="1" applyAlignment="1">
      <alignment horizontal="right" vertical="center" wrapText="1"/>
    </xf>
    <xf numFmtId="0" fontId="2" fillId="5" borderId="21" xfId="0" applyFont="1" applyFill="1" applyBorder="1" applyAlignment="1">
      <alignment horizontal="center" vertical="center"/>
    </xf>
    <xf numFmtId="164" fontId="2" fillId="5" borderId="21" xfId="0" quotePrefix="1" applyNumberFormat="1" applyFont="1" applyFill="1" applyBorder="1" applyAlignment="1">
      <alignment horizontal="center" vertical="center"/>
    </xf>
    <xf numFmtId="0" fontId="2" fillId="5" borderId="23" xfId="0" applyFont="1" applyFill="1" applyBorder="1" applyAlignment="1">
      <alignment horizontal="center" vertical="center"/>
    </xf>
    <xf numFmtId="0" fontId="2" fillId="5" borderId="0" xfId="0" applyFont="1" applyFill="1" applyBorder="1"/>
    <xf numFmtId="0" fontId="11" fillId="5" borderId="0" xfId="0" applyFont="1" applyFill="1" applyBorder="1"/>
    <xf numFmtId="2" fontId="2" fillId="5" borderId="0" xfId="0" applyNumberFormat="1" applyFont="1" applyFill="1" applyBorder="1"/>
    <xf numFmtId="0" fontId="0" fillId="0" borderId="0" xfId="0" applyAlignment="1">
      <alignment vertical="center"/>
    </xf>
    <xf numFmtId="0" fontId="2" fillId="0" borderId="12"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left"/>
    </xf>
    <xf numFmtId="0" fontId="3" fillId="0" borderId="0" xfId="0" applyFont="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8" fillId="0" borderId="0" xfId="0" applyFont="1" applyBorder="1" applyAlignment="1">
      <alignment horizontal="center"/>
    </xf>
    <xf numFmtId="0" fontId="9" fillId="0" borderId="0" xfId="0" applyFont="1" applyAlignment="1">
      <alignment horizontal="center" vertical="top"/>
    </xf>
    <xf numFmtId="0" fontId="7" fillId="0" borderId="0" xfId="0" applyFont="1" applyAlignment="1">
      <alignment horizontal="left" vertical="top" wrapText="1"/>
    </xf>
    <xf numFmtId="0" fontId="12" fillId="0" borderId="0" xfId="0" applyFont="1" applyFill="1" applyBorder="1" applyAlignment="1">
      <alignment horizontal="center"/>
    </xf>
    <xf numFmtId="0" fontId="13" fillId="0" borderId="0"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left"/>
    </xf>
    <xf numFmtId="0" fontId="10" fillId="0" borderId="12" xfId="0" applyFont="1" applyFill="1" applyBorder="1" applyAlignment="1">
      <alignment horizontal="center"/>
    </xf>
    <xf numFmtId="0" fontId="10" fillId="0" borderId="31" xfId="0" applyFont="1" applyFill="1" applyBorder="1" applyAlignment="1">
      <alignment horizontal="center"/>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10" fillId="0" borderId="33" xfId="0" applyFont="1" applyFill="1" applyBorder="1" applyAlignment="1">
      <alignment horizontal="center"/>
    </xf>
    <xf numFmtId="0" fontId="10" fillId="0" borderId="34"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10" fillId="0" borderId="28" xfId="0" applyFont="1" applyFill="1" applyBorder="1" applyAlignment="1">
      <alignment horizontal="center"/>
    </xf>
    <xf numFmtId="0" fontId="10" fillId="0" borderId="29" xfId="0" applyFont="1" applyFill="1" applyBorder="1" applyAlignment="1">
      <alignment horizont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Skull Creek</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0.6</c:v>
              </c:pt>
              <c:pt idx="1">
                <c:v>0.6</c:v>
              </c:pt>
              <c:pt idx="2">
                <c:v>0.6</c:v>
              </c:pt>
            </c:numLit>
          </c:xVal>
          <c:yVal>
            <c:numLit>
              <c:formatCode>General</c:formatCode>
              <c:ptCount val="3"/>
              <c:pt idx="0">
                <c:v>0</c:v>
              </c:pt>
              <c:pt idx="1">
                <c:v>50</c:v>
              </c:pt>
              <c:pt idx="2">
                <c:v>100</c:v>
              </c:pt>
            </c:numLit>
          </c:yVal>
          <c:smooth val="0"/>
        </c:ser>
        <c:ser>
          <c:idx val="15"/>
          <c:order val="1"/>
          <c:tx>
            <c:v>#50</c:v>
          </c:tx>
          <c:spPr>
            <a:ln w="3175">
              <a:solidFill>
                <a:srgbClr val="000000"/>
              </a:solidFill>
              <a:prstDash val="sysDash"/>
            </a:ln>
          </c:spPr>
          <c:marker>
            <c:symbol val="none"/>
          </c:marker>
          <c:xVal>
            <c:numLit>
              <c:formatCode>General</c:formatCode>
              <c:ptCount val="3"/>
              <c:pt idx="0">
                <c:v>0.3</c:v>
              </c:pt>
              <c:pt idx="1">
                <c:v>0.3</c:v>
              </c:pt>
              <c:pt idx="2">
                <c:v>0.3</c:v>
              </c:pt>
            </c:numLit>
          </c:xVal>
          <c:yVal>
            <c:numLit>
              <c:formatCode>General</c:formatCode>
              <c:ptCount val="3"/>
              <c:pt idx="0">
                <c:v>0</c:v>
              </c:pt>
              <c:pt idx="1">
                <c:v>50</c:v>
              </c:pt>
              <c:pt idx="2">
                <c:v>100</c:v>
              </c:pt>
            </c:numLit>
          </c:yVal>
          <c:smooth val="0"/>
        </c:ser>
        <c:ser>
          <c:idx val="5"/>
          <c:order val="2"/>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6"/>
          <c:order val="3"/>
          <c:spPr>
            <a:ln w="25400">
              <a:solidFill>
                <a:srgbClr val="000000"/>
              </a:solidFill>
              <a:prstDash val="sysDash"/>
            </a:ln>
          </c:spPr>
          <c:marker>
            <c:symbol val="none"/>
          </c:marker>
          <c:xVal>
            <c:numLit>
              <c:formatCode>General</c:formatCode>
              <c:ptCount val="3"/>
              <c:pt idx="0">
                <c:v>0.5</c:v>
              </c:pt>
              <c:pt idx="1">
                <c:v>0.5</c:v>
              </c:pt>
              <c:pt idx="2">
                <c:v>0.5</c:v>
              </c:pt>
            </c:numLit>
          </c:xVal>
          <c:yVal>
            <c:numLit>
              <c:formatCode>General</c:formatCode>
              <c:ptCount val="3"/>
              <c:pt idx="0">
                <c:v>0</c:v>
              </c:pt>
              <c:pt idx="1">
                <c:v>50</c:v>
              </c:pt>
              <c:pt idx="2">
                <c:v>100</c:v>
              </c:pt>
            </c:numLit>
          </c:yVal>
          <c:smooth val="0"/>
        </c:ser>
        <c:ser>
          <c:idx val="7"/>
          <c:order val="4"/>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8"/>
          <c:order val="5"/>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9"/>
          <c:order val="6"/>
          <c:spPr>
            <a:ln w="25400">
              <a:solidFill>
                <a:srgbClr val="000000"/>
              </a:solidFill>
              <a:prstDash val="sysDash"/>
            </a:ln>
          </c:spPr>
          <c:marker>
            <c:symbol val="none"/>
          </c:marker>
          <c:xVal>
            <c:numLit>
              <c:formatCode>General</c:formatCode>
              <c:ptCount val="3"/>
              <c:pt idx="0">
                <c:v>6.2E-2</c:v>
              </c:pt>
              <c:pt idx="1">
                <c:v>6.2E-2</c:v>
              </c:pt>
              <c:pt idx="2">
                <c:v>6.2E-2</c:v>
              </c:pt>
            </c:numLit>
          </c:xVal>
          <c:yVal>
            <c:numLit>
              <c:formatCode>General</c:formatCode>
              <c:ptCount val="3"/>
              <c:pt idx="0">
                <c:v>0</c:v>
              </c:pt>
              <c:pt idx="1">
                <c:v>50</c:v>
              </c:pt>
              <c:pt idx="2">
                <c:v>100</c:v>
              </c:pt>
            </c:numLit>
          </c:yVal>
          <c:smooth val="0"/>
        </c:ser>
        <c:ser>
          <c:idx val="3"/>
          <c:order val="7"/>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11"/>
          <c:order val="8"/>
          <c:spPr>
            <a:ln w="25400">
              <a:solidFill>
                <a:srgbClr val="000000"/>
              </a:solidFill>
              <a:prstDash val="sysDash"/>
            </a:ln>
          </c:spPr>
          <c:marker>
            <c:symbol val="none"/>
          </c:marker>
          <c:xVal>
            <c:numLit>
              <c:formatCode>General</c:formatCode>
              <c:ptCount val="3"/>
              <c:pt idx="0">
                <c:v>2</c:v>
              </c:pt>
              <c:pt idx="1">
                <c:v>2</c:v>
              </c:pt>
              <c:pt idx="2">
                <c:v>2</c:v>
              </c:pt>
            </c:numLit>
          </c:xVal>
          <c:yVal>
            <c:numLit>
              <c:formatCode>General</c:formatCode>
              <c:ptCount val="3"/>
              <c:pt idx="0">
                <c:v>0</c:v>
              </c:pt>
              <c:pt idx="1">
                <c:v>50</c:v>
              </c:pt>
              <c:pt idx="2">
                <c:v>100</c:v>
              </c:pt>
            </c:numLit>
          </c:yVal>
          <c:smooth val="0"/>
        </c:ser>
        <c:ser>
          <c:idx val="12"/>
          <c:order val="9"/>
          <c:spPr>
            <a:ln>
              <a:solidFill>
                <a:schemeClr val="tx1"/>
              </a:solidFill>
              <a:prstDash val="sysDash"/>
            </a:ln>
          </c:spPr>
          <c:marker>
            <c:symbol val="none"/>
          </c:marker>
          <c:xVal>
            <c:numLit>
              <c:formatCode>General</c:formatCode>
              <c:ptCount val="3"/>
              <c:pt idx="0">
                <c:v>256</c:v>
              </c:pt>
              <c:pt idx="1">
                <c:v>256</c:v>
              </c:pt>
              <c:pt idx="2">
                <c:v>256</c:v>
              </c:pt>
            </c:numLit>
          </c:xVal>
          <c:yVal>
            <c:numLit>
              <c:formatCode>General</c:formatCode>
              <c:ptCount val="3"/>
              <c:pt idx="0">
                <c:v>0</c:v>
              </c:pt>
              <c:pt idx="1">
                <c:v>50</c:v>
              </c:pt>
              <c:pt idx="2">
                <c:v>100</c:v>
              </c:pt>
            </c:numLit>
          </c:yVal>
          <c:smooth val="0"/>
        </c:ser>
        <c:ser>
          <c:idx val="0"/>
          <c:order val="10"/>
          <c:tx>
            <c:v>Pebble Count Left</c:v>
          </c:tx>
          <c:spPr>
            <a:ln w="28575">
              <a:solidFill>
                <a:schemeClr val="accent6">
                  <a:lumMod val="75000"/>
                </a:schemeClr>
              </a:solidFill>
              <a:prstDash val="dashDot"/>
            </a:ln>
          </c:spPr>
          <c:marker>
            <c:symbol val="none"/>
          </c:marker>
          <c:xVal>
            <c:numRef>
              <c:f>Surface!$B$13:$B$29</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520</c:v>
                </c:pt>
              </c:numCache>
            </c:numRef>
          </c:xVal>
          <c:yVal>
            <c:numRef>
              <c:f>Surface!$H$13:$H$29</c:f>
              <c:numCache>
                <c:formatCode>General</c:formatCode>
                <c:ptCount val="17"/>
                <c:pt idx="0">
                  <c:v>0</c:v>
                </c:pt>
                <c:pt idx="1">
                  <c:v>0</c:v>
                </c:pt>
                <c:pt idx="2">
                  <c:v>0</c:v>
                </c:pt>
                <c:pt idx="3">
                  <c:v>3</c:v>
                </c:pt>
                <c:pt idx="4">
                  <c:v>6</c:v>
                </c:pt>
                <c:pt idx="5">
                  <c:v>12</c:v>
                </c:pt>
                <c:pt idx="6">
                  <c:v>15</c:v>
                </c:pt>
                <c:pt idx="7">
                  <c:v>22</c:v>
                </c:pt>
                <c:pt idx="8">
                  <c:v>30</c:v>
                </c:pt>
                <c:pt idx="9">
                  <c:v>38</c:v>
                </c:pt>
                <c:pt idx="10">
                  <c:v>44</c:v>
                </c:pt>
                <c:pt idx="11">
                  <c:v>56</c:v>
                </c:pt>
                <c:pt idx="12">
                  <c:v>70</c:v>
                </c:pt>
                <c:pt idx="13">
                  <c:v>78</c:v>
                </c:pt>
                <c:pt idx="14">
                  <c:v>84</c:v>
                </c:pt>
                <c:pt idx="15">
                  <c:v>89</c:v>
                </c:pt>
                <c:pt idx="16">
                  <c:v>100</c:v>
                </c:pt>
              </c:numCache>
            </c:numRef>
          </c:yVal>
          <c:smooth val="0"/>
        </c:ser>
        <c:ser>
          <c:idx val="2"/>
          <c:order val="11"/>
          <c:tx>
            <c:v>Pebble Count Center</c:v>
          </c:tx>
          <c:spPr>
            <a:ln w="19050">
              <a:solidFill>
                <a:schemeClr val="accent6">
                  <a:lumMod val="75000"/>
                </a:schemeClr>
              </a:solidFill>
            </a:ln>
          </c:spPr>
          <c:marker>
            <c:symbol val="none"/>
          </c:marker>
          <c:xVal>
            <c:numRef>
              <c:f>Surface!$I$13:$I$29</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520</c:v>
                </c:pt>
              </c:numCache>
            </c:numRef>
          </c:xVal>
          <c:yVal>
            <c:numRef>
              <c:f>Surface!$O$13:$O$29</c:f>
              <c:numCache>
                <c:formatCode>General</c:formatCode>
                <c:ptCount val="17"/>
                <c:pt idx="0">
                  <c:v>0</c:v>
                </c:pt>
                <c:pt idx="1">
                  <c:v>0</c:v>
                </c:pt>
                <c:pt idx="2">
                  <c:v>0</c:v>
                </c:pt>
                <c:pt idx="3">
                  <c:v>0</c:v>
                </c:pt>
                <c:pt idx="4">
                  <c:v>0</c:v>
                </c:pt>
                <c:pt idx="5">
                  <c:v>1</c:v>
                </c:pt>
                <c:pt idx="6">
                  <c:v>6</c:v>
                </c:pt>
                <c:pt idx="7">
                  <c:v>8</c:v>
                </c:pt>
                <c:pt idx="8">
                  <c:v>20</c:v>
                </c:pt>
                <c:pt idx="9">
                  <c:v>32</c:v>
                </c:pt>
                <c:pt idx="10">
                  <c:v>58</c:v>
                </c:pt>
                <c:pt idx="11">
                  <c:v>68</c:v>
                </c:pt>
                <c:pt idx="12">
                  <c:v>77</c:v>
                </c:pt>
                <c:pt idx="13">
                  <c:v>90</c:v>
                </c:pt>
                <c:pt idx="14">
                  <c:v>95</c:v>
                </c:pt>
                <c:pt idx="15">
                  <c:v>99</c:v>
                </c:pt>
                <c:pt idx="16">
                  <c:v>100</c:v>
                </c:pt>
              </c:numCache>
            </c:numRef>
          </c:yVal>
          <c:smooth val="0"/>
        </c:ser>
        <c:ser>
          <c:idx val="4"/>
          <c:order val="12"/>
          <c:tx>
            <c:v>Pebble Count Right</c:v>
          </c:tx>
          <c:spPr>
            <a:ln>
              <a:solidFill>
                <a:schemeClr val="accent6">
                  <a:lumMod val="75000"/>
                </a:schemeClr>
              </a:solidFill>
              <a:prstDash val="sysDash"/>
            </a:ln>
          </c:spPr>
          <c:marker>
            <c:symbol val="none"/>
          </c:marker>
          <c:xVal>
            <c:numRef>
              <c:f>Surface!$P$13:$P$29</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520</c:v>
                </c:pt>
              </c:numCache>
            </c:numRef>
          </c:xVal>
          <c:yVal>
            <c:numRef>
              <c:f>Surface!$V$13:$V$29</c:f>
              <c:numCache>
                <c:formatCode>General</c:formatCode>
                <c:ptCount val="17"/>
                <c:pt idx="0">
                  <c:v>0</c:v>
                </c:pt>
                <c:pt idx="1">
                  <c:v>0</c:v>
                </c:pt>
                <c:pt idx="2">
                  <c:v>0</c:v>
                </c:pt>
                <c:pt idx="3">
                  <c:v>1</c:v>
                </c:pt>
                <c:pt idx="4">
                  <c:v>3</c:v>
                </c:pt>
                <c:pt idx="5">
                  <c:v>8</c:v>
                </c:pt>
                <c:pt idx="6">
                  <c:v>9</c:v>
                </c:pt>
                <c:pt idx="7">
                  <c:v>15</c:v>
                </c:pt>
                <c:pt idx="8">
                  <c:v>21</c:v>
                </c:pt>
                <c:pt idx="9">
                  <c:v>32</c:v>
                </c:pt>
                <c:pt idx="10">
                  <c:v>42</c:v>
                </c:pt>
                <c:pt idx="11">
                  <c:v>50</c:v>
                </c:pt>
                <c:pt idx="12">
                  <c:v>60</c:v>
                </c:pt>
                <c:pt idx="13">
                  <c:v>73</c:v>
                </c:pt>
                <c:pt idx="14">
                  <c:v>80</c:v>
                </c:pt>
                <c:pt idx="15">
                  <c:v>90</c:v>
                </c:pt>
                <c:pt idx="16">
                  <c:v>100</c:v>
                </c:pt>
              </c:numCache>
            </c:numRef>
          </c:yVal>
          <c:smooth val="0"/>
        </c:ser>
        <c:ser>
          <c:idx val="10"/>
          <c:order val="13"/>
          <c:tx>
            <c:v>Pebble Count Average</c:v>
          </c:tx>
          <c:spPr>
            <a:ln w="38100">
              <a:solidFill>
                <a:schemeClr val="accent6">
                  <a:lumMod val="75000"/>
                </a:schemeClr>
              </a:solidFill>
              <a:prstDash val="solid"/>
            </a:ln>
          </c:spPr>
          <c:marker>
            <c:symbol val="none"/>
          </c:marker>
          <c:xVal>
            <c:numRef>
              <c:f>Surface!$P$13:$P$29</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520</c:v>
                </c:pt>
              </c:numCache>
            </c:numRef>
          </c:xVal>
          <c:yVal>
            <c:numRef>
              <c:f>Surface!$W$13:$W$29</c:f>
              <c:numCache>
                <c:formatCode>0.0</c:formatCode>
                <c:ptCount val="17"/>
                <c:pt idx="0">
                  <c:v>0</c:v>
                </c:pt>
                <c:pt idx="1">
                  <c:v>0</c:v>
                </c:pt>
                <c:pt idx="2">
                  <c:v>0</c:v>
                </c:pt>
                <c:pt idx="3">
                  <c:v>1.3333333333333333</c:v>
                </c:pt>
                <c:pt idx="4">
                  <c:v>3</c:v>
                </c:pt>
                <c:pt idx="5">
                  <c:v>7</c:v>
                </c:pt>
                <c:pt idx="6">
                  <c:v>10</c:v>
                </c:pt>
                <c:pt idx="7">
                  <c:v>15</c:v>
                </c:pt>
                <c:pt idx="8">
                  <c:v>23.666666666666668</c:v>
                </c:pt>
                <c:pt idx="9">
                  <c:v>34</c:v>
                </c:pt>
                <c:pt idx="10">
                  <c:v>48</c:v>
                </c:pt>
                <c:pt idx="11">
                  <c:v>58</c:v>
                </c:pt>
                <c:pt idx="12">
                  <c:v>69</c:v>
                </c:pt>
                <c:pt idx="13">
                  <c:v>80.333333333333329</c:v>
                </c:pt>
                <c:pt idx="14">
                  <c:v>86.333333333333329</c:v>
                </c:pt>
                <c:pt idx="15">
                  <c:v>92.666666666666671</c:v>
                </c:pt>
                <c:pt idx="16">
                  <c:v>100</c:v>
                </c:pt>
              </c:numCache>
            </c:numRef>
          </c:yVal>
          <c:smooth val="0"/>
        </c:ser>
        <c:ser>
          <c:idx val="1"/>
          <c:order val="14"/>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94.273611243066398</c:v>
                </c:pt>
                <c:pt idx="3">
                  <c:v>91.147853187971634</c:v>
                </c:pt>
                <c:pt idx="4">
                  <c:v>87.071864684128059</c:v>
                </c:pt>
                <c:pt idx="5">
                  <c:v>77.994663292132898</c:v>
                </c:pt>
                <c:pt idx="6">
                  <c:v>68.267304224678</c:v>
                </c:pt>
                <c:pt idx="7">
                  <c:v>59.140090703801285</c:v>
                </c:pt>
                <c:pt idx="8">
                  <c:v>49.762816538517008</c:v>
                </c:pt>
                <c:pt idx="9">
                  <c:v>42.035942626322765</c:v>
                </c:pt>
                <c:pt idx="10">
                  <c:v>31.52695696974207</c:v>
                </c:pt>
                <c:pt idx="11">
                  <c:v>23.119768444477522</c:v>
                </c:pt>
                <c:pt idx="12">
                  <c:v>15.553298771739424</c:v>
                </c:pt>
                <c:pt idx="13">
                  <c:v>10.92934508284392</c:v>
                </c:pt>
                <c:pt idx="14">
                  <c:v>7.5664696727380978</c:v>
                </c:pt>
                <c:pt idx="15">
                  <c:v>3.7832348363690489</c:v>
                </c:pt>
                <c:pt idx="16">
                  <c:v>2.1017971313161383</c:v>
                </c:pt>
                <c:pt idx="17">
                  <c:v>1.4292220492949741</c:v>
                </c:pt>
              </c:numCache>
            </c:numRef>
          </c:yVal>
          <c:smooth val="0"/>
        </c:ser>
        <c:dLbls>
          <c:showLegendKey val="0"/>
          <c:showVal val="0"/>
          <c:showCatName val="0"/>
          <c:showSerName val="0"/>
          <c:showPercent val="0"/>
          <c:showBubbleSize val="0"/>
        </c:dLbls>
        <c:axId val="132417408"/>
        <c:axId val="132423680"/>
      </c:scatterChart>
      <c:valAx>
        <c:axId val="132417408"/>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32423680"/>
        <c:crosses val="autoZero"/>
        <c:crossBetween val="midCat"/>
        <c:majorUnit val="10"/>
        <c:minorUnit val="10"/>
      </c:valAx>
      <c:valAx>
        <c:axId val="132423680"/>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32417408"/>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1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12</xdr:col>
      <xdr:colOff>57150</xdr:colOff>
      <xdr:row>0</xdr:row>
      <xdr:rowOff>1</xdr:rowOff>
    </xdr:from>
    <xdr:ext cx="8820150" cy="7486649"/>
    <xdr:pic>
      <xdr:nvPicPr>
        <xdr:cNvPr id="2" name="Picture 1"/>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9525000" y="1"/>
          <a:ext cx="8820150" cy="74866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723901</xdr:colOff>
      <xdr:row>0</xdr:row>
      <xdr:rowOff>51079</xdr:rowOff>
    </xdr:from>
    <xdr:ext cx="1981200" cy="383261"/>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315076" y="51079"/>
          <a:ext cx="1981200" cy="383261"/>
        </a:xfrm>
        <a:prstGeom prst="rect">
          <a:avLst/>
        </a:prstGeom>
      </xdr:spPr>
    </xdr:pic>
    <xdr:clientData/>
  </xdr:oneCellAnchor>
  <xdr:oneCellAnchor>
    <xdr:from>
      <xdr:col>10</xdr:col>
      <xdr:colOff>131444</xdr:colOff>
      <xdr:row>1</xdr:row>
      <xdr:rowOff>255269</xdr:rowOff>
    </xdr:from>
    <xdr:ext cx="649605" cy="810362"/>
    <xdr:pic>
      <xdr:nvPicPr>
        <xdr:cNvPr id="4" name="Picture 3"/>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8141969" y="550544"/>
          <a:ext cx="649605" cy="810362"/>
        </a:xfrm>
        <a:prstGeom prst="rect">
          <a:avLst/>
        </a:prstGeom>
      </xdr:spPr>
    </xdr:pic>
    <xdr:clientData/>
  </xdr:oneCellAnchor>
  <xdr:twoCellAnchor>
    <xdr:from>
      <xdr:col>2</xdr:col>
      <xdr:colOff>127635</xdr:colOff>
      <xdr:row>6</xdr:row>
      <xdr:rowOff>333376</xdr:rowOff>
    </xdr:from>
    <xdr:to>
      <xdr:col>3</xdr:col>
      <xdr:colOff>139065</xdr:colOff>
      <xdr:row>6</xdr:row>
      <xdr:rowOff>521970</xdr:rowOff>
    </xdr:to>
    <xdr:sp macro="" textlink="">
      <xdr:nvSpPr>
        <xdr:cNvPr id="5" name="Oval 4"/>
        <xdr:cNvSpPr/>
      </xdr:nvSpPr>
      <xdr:spPr>
        <a:xfrm>
          <a:off x="1518285" y="1695451"/>
          <a:ext cx="859155" cy="18859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727710</xdr:colOff>
      <xdr:row>6</xdr:row>
      <xdr:rowOff>342901</xdr:rowOff>
    </xdr:from>
    <xdr:to>
      <xdr:col>4</xdr:col>
      <xdr:colOff>739140</xdr:colOff>
      <xdr:row>6</xdr:row>
      <xdr:rowOff>531495</xdr:rowOff>
    </xdr:to>
    <xdr:sp macro="" textlink="">
      <xdr:nvSpPr>
        <xdr:cNvPr id="6" name="Oval 5"/>
        <xdr:cNvSpPr/>
      </xdr:nvSpPr>
      <xdr:spPr>
        <a:xfrm>
          <a:off x="2966085" y="1704976"/>
          <a:ext cx="859155" cy="18859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20</xdr:col>
      <xdr:colOff>67616</xdr:colOff>
      <xdr:row>2</xdr:row>
      <xdr:rowOff>194074</xdr:rowOff>
    </xdr:from>
    <xdr:ext cx="789634" cy="377426"/>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621441" y="670324"/>
          <a:ext cx="789634" cy="377426"/>
        </a:xfrm>
        <a:prstGeom prst="rect">
          <a:avLst/>
        </a:prstGeom>
      </xdr:spPr>
    </xdr:pic>
    <xdr:clientData/>
  </xdr:oneCellAnchor>
  <xdr:oneCellAnchor>
    <xdr:from>
      <xdr:col>15</xdr:col>
      <xdr:colOff>238126</xdr:colOff>
      <xdr:row>1</xdr:row>
      <xdr:rowOff>21528</xdr:rowOff>
    </xdr:from>
    <xdr:ext cx="2125856" cy="346350"/>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53476" y="202503"/>
          <a:ext cx="2125856" cy="346350"/>
        </a:xfrm>
        <a:prstGeom prst="rect">
          <a:avLst/>
        </a:prstGeom>
      </xdr:spPr>
    </xdr:pic>
    <xdr:clientData/>
  </xdr:oneCellAnchor>
  <xdr:oneCellAnchor>
    <xdr:from>
      <xdr:col>30</xdr:col>
      <xdr:colOff>9527</xdr:colOff>
      <xdr:row>2</xdr:row>
      <xdr:rowOff>139064</xdr:rowOff>
    </xdr:from>
    <xdr:ext cx="581023" cy="784861"/>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354927" y="615314"/>
          <a:ext cx="581023" cy="784861"/>
        </a:xfrm>
        <a:prstGeom prst="rect">
          <a:avLst/>
        </a:prstGeom>
      </xdr:spPr>
    </xdr:pic>
    <xdr:clientData/>
  </xdr:oneCellAnchor>
  <xdr:oneCellAnchor>
    <xdr:from>
      <xdr:col>28</xdr:col>
      <xdr:colOff>152401</xdr:colOff>
      <xdr:row>1</xdr:row>
      <xdr:rowOff>574</xdr:rowOff>
    </xdr:from>
    <xdr:ext cx="1815302" cy="55187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02301" y="181549"/>
          <a:ext cx="1815302" cy="55187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2823" cy="628978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175" y="5589920"/>
          <a:ext cx="7230426" cy="386004"/>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12" y="5583819"/>
          <a:ext cx="6957806" cy="399904"/>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5"/>
  <sheetViews>
    <sheetView topLeftCell="A2" workbookViewId="0">
      <selection activeCell="AF4" sqref="AF4"/>
    </sheetView>
  </sheetViews>
  <sheetFormatPr defaultRowHeight="15" x14ac:dyDescent="0.25"/>
  <cols>
    <col min="1" max="1" width="9.14062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2" width="9.140625" style="1" customWidth="1"/>
    <col min="29" max="32" width="9.140625" style="1"/>
    <col min="33" max="33" width="11.140625" style="1" customWidth="1"/>
    <col min="34" max="36" width="9.140625" style="1"/>
    <col min="37" max="37" width="9.42578125" style="1" customWidth="1"/>
    <col min="38" max="38" width="9.140625" style="1"/>
  </cols>
  <sheetData>
    <row r="1" spans="2:37" customFormat="1" ht="23.25" x14ac:dyDescent="0.35">
      <c r="B1" s="1"/>
      <c r="C1" s="1"/>
      <c r="D1" s="1"/>
      <c r="E1" s="1"/>
      <c r="F1" s="1"/>
      <c r="G1" s="1"/>
      <c r="H1" s="1"/>
      <c r="I1" s="1"/>
      <c r="J1" s="1"/>
      <c r="K1" s="1"/>
      <c r="L1" s="1"/>
      <c r="AC1" s="1"/>
      <c r="AD1" s="145" t="s">
        <v>0</v>
      </c>
      <c r="AE1" s="145"/>
      <c r="AF1" s="145"/>
      <c r="AG1" s="145"/>
      <c r="AH1" s="145"/>
      <c r="AI1" s="145"/>
      <c r="AJ1" s="145"/>
      <c r="AK1" s="145"/>
    </row>
    <row r="2" spans="2:37" customFormat="1" ht="23.25" x14ac:dyDescent="0.35">
      <c r="B2" s="145" t="s">
        <v>1</v>
      </c>
      <c r="C2" s="145"/>
      <c r="D2" s="145"/>
      <c r="E2" s="145"/>
      <c r="F2" s="145"/>
      <c r="G2" s="145"/>
      <c r="H2" s="145"/>
      <c r="I2" s="145"/>
      <c r="J2" s="145"/>
      <c r="K2" s="145"/>
      <c r="L2" s="1"/>
      <c r="AC2" s="1"/>
      <c r="AD2" s="1" t="s">
        <v>2</v>
      </c>
      <c r="AE2" s="1"/>
      <c r="AF2" s="2">
        <f>+AE26</f>
        <v>173.79999999999998</v>
      </c>
      <c r="AG2" s="1" t="s">
        <v>3</v>
      </c>
      <c r="AH2" s="1"/>
      <c r="AI2" s="1"/>
      <c r="AJ2" s="1"/>
      <c r="AK2" s="1"/>
    </row>
    <row r="3" spans="2:37" customFormat="1" x14ac:dyDescent="0.25">
      <c r="B3" s="3" t="s">
        <v>4</v>
      </c>
      <c r="C3" s="4"/>
      <c r="D3" s="5" t="s">
        <v>5</v>
      </c>
      <c r="E3" s="4"/>
      <c r="F3" s="1" t="s">
        <v>6</v>
      </c>
      <c r="G3" s="4" t="s">
        <v>7</v>
      </c>
      <c r="H3" s="4"/>
      <c r="I3" s="4"/>
      <c r="J3" s="4"/>
      <c r="K3" s="3"/>
      <c r="L3" s="1"/>
      <c r="AC3" s="1"/>
      <c r="AD3" s="1" t="s">
        <v>8</v>
      </c>
      <c r="AE3" s="1"/>
      <c r="AF3" s="6">
        <v>12767</v>
      </c>
      <c r="AG3" s="1" t="s">
        <v>9</v>
      </c>
      <c r="AH3" s="7">
        <f>+AF3*0.0022046</f>
        <v>28.146128200000003</v>
      </c>
      <c r="AI3" s="1" t="s">
        <v>3</v>
      </c>
      <c r="AJ3" s="1"/>
      <c r="AK3" s="1"/>
    </row>
    <row r="4" spans="2:37" customFormat="1" x14ac:dyDescent="0.25">
      <c r="B4" s="3" t="s">
        <v>10</v>
      </c>
      <c r="C4" s="8">
        <v>41470</v>
      </c>
      <c r="D4" s="9">
        <v>0.69097222222222221</v>
      </c>
      <c r="E4" s="10"/>
      <c r="F4" s="11" t="s">
        <v>11</v>
      </c>
      <c r="G4" s="10">
        <v>128.1</v>
      </c>
      <c r="H4" s="10"/>
      <c r="I4" s="10"/>
      <c r="J4" s="10"/>
      <c r="K4" s="3"/>
      <c r="L4" s="1"/>
      <c r="AC4" s="1"/>
      <c r="AD4" s="1" t="s">
        <v>12</v>
      </c>
      <c r="AE4" s="1"/>
      <c r="AF4" s="121">
        <f>1-AH3/H42</f>
        <v>3.277909965635728E-2</v>
      </c>
      <c r="AG4" s="1"/>
      <c r="AH4" s="1"/>
      <c r="AI4" s="1"/>
      <c r="AJ4" s="1"/>
      <c r="AK4" s="1"/>
    </row>
    <row r="5" spans="2:37" customFormat="1" ht="15.75" thickBot="1" x14ac:dyDescent="0.3">
      <c r="B5" s="3" t="s">
        <v>13</v>
      </c>
      <c r="C5" s="10"/>
      <c r="D5" s="13"/>
      <c r="E5" s="10"/>
      <c r="F5" s="11" t="s">
        <v>14</v>
      </c>
      <c r="G5" s="14" t="s">
        <v>15</v>
      </c>
      <c r="H5" s="10"/>
      <c r="I5" s="10"/>
      <c r="J5" s="10"/>
      <c r="K5" s="3"/>
      <c r="L5" s="1"/>
      <c r="AC5" s="1"/>
      <c r="AD5" s="1"/>
      <c r="AE5" s="1"/>
      <c r="AF5" s="12"/>
      <c r="AG5" s="1"/>
      <c r="AH5" s="1"/>
      <c r="AI5" s="1"/>
      <c r="AJ5" s="1"/>
      <c r="AK5" s="1"/>
    </row>
    <row r="6" spans="2:37" customFormat="1" x14ac:dyDescent="0.25">
      <c r="B6" s="3" t="s">
        <v>16</v>
      </c>
      <c r="C6" s="10" t="s">
        <v>17</v>
      </c>
      <c r="D6" s="10"/>
      <c r="E6" s="10"/>
      <c r="F6" s="11"/>
      <c r="G6" s="10" t="s">
        <v>18</v>
      </c>
      <c r="H6" s="10"/>
      <c r="I6" s="10"/>
      <c r="J6" s="10"/>
      <c r="K6" s="3"/>
      <c r="L6" s="1"/>
      <c r="AC6" s="1"/>
      <c r="AD6" s="1"/>
      <c r="AE6" s="146" t="s">
        <v>19</v>
      </c>
      <c r="AF6" s="147"/>
      <c r="AG6" s="147"/>
      <c r="AH6" s="148"/>
      <c r="AI6" s="1"/>
      <c r="AJ6" s="1"/>
      <c r="AK6" s="1"/>
    </row>
    <row r="7" spans="2:37" customFormat="1" ht="43.5" x14ac:dyDescent="0.25">
      <c r="B7" s="4" t="s">
        <v>20</v>
      </c>
      <c r="C7" s="10"/>
      <c r="D7" s="10"/>
      <c r="E7" s="10"/>
      <c r="F7" s="11"/>
      <c r="G7" s="10"/>
      <c r="H7" s="10"/>
      <c r="I7" s="10"/>
      <c r="J7" s="10"/>
      <c r="K7" s="3"/>
      <c r="L7" s="1"/>
      <c r="AC7" s="1"/>
      <c r="AD7" s="1"/>
      <c r="AE7" s="15" t="s">
        <v>21</v>
      </c>
      <c r="AF7" s="15" t="s">
        <v>22</v>
      </c>
      <c r="AG7" s="16" t="s">
        <v>23</v>
      </c>
      <c r="AH7" s="16" t="s">
        <v>24</v>
      </c>
      <c r="AI7" s="16" t="s">
        <v>25</v>
      </c>
      <c r="AJ7" s="16" t="s">
        <v>26</v>
      </c>
      <c r="AK7" s="16" t="s">
        <v>27</v>
      </c>
    </row>
    <row r="8" spans="2:37" customFormat="1" x14ac:dyDescent="0.25">
      <c r="B8" s="3" t="s">
        <v>28</v>
      </c>
      <c r="C8" s="10"/>
      <c r="D8" s="10" t="s">
        <v>29</v>
      </c>
      <c r="E8" s="10"/>
      <c r="F8" s="1"/>
      <c r="G8" s="10" t="s">
        <v>30</v>
      </c>
      <c r="H8" s="10"/>
      <c r="I8" s="10"/>
      <c r="J8" s="10"/>
      <c r="K8" s="3"/>
      <c r="L8" s="115"/>
      <c r="AC8" s="1"/>
      <c r="AD8" s="122">
        <v>360</v>
      </c>
      <c r="AE8" s="17">
        <f t="shared" ref="AE8:AE16" si="0">+H30</f>
        <v>0</v>
      </c>
      <c r="AF8" s="17">
        <f>+AE8</f>
        <v>0</v>
      </c>
      <c r="AG8" s="17">
        <f>+AF8</f>
        <v>0</v>
      </c>
      <c r="AH8" s="18">
        <f t="shared" ref="AH8:AH17" si="1">1-(AG8/AF$27)</f>
        <v>1</v>
      </c>
      <c r="AI8" s="19"/>
      <c r="AJ8" s="19"/>
      <c r="AK8" s="20">
        <f t="shared" ref="AK8:AK17" si="2">+AH8*100</f>
        <v>100</v>
      </c>
    </row>
    <row r="9" spans="2:37" customFormat="1" ht="15.75" thickBot="1" x14ac:dyDescent="0.3">
      <c r="B9" s="1"/>
      <c r="C9" s="1"/>
      <c r="D9" s="1"/>
      <c r="E9" s="1"/>
      <c r="F9" s="1"/>
      <c r="G9" s="10" t="s">
        <v>31</v>
      </c>
      <c r="H9" s="10"/>
      <c r="I9" s="10"/>
      <c r="J9" s="10"/>
      <c r="K9" s="3"/>
      <c r="L9" s="115"/>
      <c r="AC9" s="1"/>
      <c r="AD9" s="122">
        <v>256</v>
      </c>
      <c r="AE9" s="17">
        <f t="shared" si="0"/>
        <v>0</v>
      </c>
      <c r="AF9" s="17">
        <f t="shared" ref="AF9:AF17" si="3">+AE9</f>
        <v>0</v>
      </c>
      <c r="AG9" s="21">
        <f t="shared" ref="AG9:AG17" si="4">+AF9+AG8</f>
        <v>0</v>
      </c>
      <c r="AH9" s="18">
        <f t="shared" si="1"/>
        <v>1</v>
      </c>
      <c r="AI9" s="19"/>
      <c r="AJ9" s="19"/>
      <c r="AK9" s="20">
        <f t="shared" si="2"/>
        <v>100</v>
      </c>
    </row>
    <row r="10" spans="2:37" customFormat="1" ht="18.75" thickBot="1" x14ac:dyDescent="0.3">
      <c r="B10" s="149" t="s">
        <v>32</v>
      </c>
      <c r="C10" s="150"/>
      <c r="D10" s="150"/>
      <c r="E10" s="151"/>
      <c r="F10" s="1"/>
      <c r="G10" s="22"/>
      <c r="H10" s="22"/>
      <c r="I10" s="22"/>
      <c r="J10" s="22"/>
      <c r="K10" s="1"/>
      <c r="L10" s="115"/>
      <c r="AC10" s="1"/>
      <c r="AD10" s="122">
        <v>180</v>
      </c>
      <c r="AE10" s="17">
        <f t="shared" si="0"/>
        <v>22.900000000000002</v>
      </c>
      <c r="AF10" s="17">
        <f t="shared" si="3"/>
        <v>22.900000000000002</v>
      </c>
      <c r="AG10" s="21">
        <f t="shared" si="4"/>
        <v>22.900000000000002</v>
      </c>
      <c r="AH10" s="18">
        <f t="shared" si="1"/>
        <v>0.94273611243066402</v>
      </c>
      <c r="AI10" s="19"/>
      <c r="AJ10" s="19"/>
      <c r="AK10" s="20">
        <f t="shared" si="2"/>
        <v>94.273611243066398</v>
      </c>
    </row>
    <row r="11" spans="2:37" customFormat="1" ht="18.75" x14ac:dyDescent="0.35">
      <c r="B11" s="23" t="s">
        <v>33</v>
      </c>
      <c r="C11" s="23" t="s">
        <v>34</v>
      </c>
      <c r="D11" s="23" t="s">
        <v>35</v>
      </c>
      <c r="E11" s="23" t="s">
        <v>36</v>
      </c>
      <c r="F11" s="1"/>
      <c r="G11" s="24" t="s">
        <v>37</v>
      </c>
      <c r="H11" s="4">
        <v>128</v>
      </c>
      <c r="I11" s="4"/>
      <c r="J11" s="3"/>
      <c r="K11" s="1"/>
      <c r="L11" s="115"/>
      <c r="AC11" s="1"/>
      <c r="AD11" s="122">
        <v>128</v>
      </c>
      <c r="AE11" s="17">
        <f t="shared" si="0"/>
        <v>12.5</v>
      </c>
      <c r="AF11" s="17">
        <f t="shared" si="3"/>
        <v>12.5</v>
      </c>
      <c r="AG11" s="21">
        <f t="shared" si="4"/>
        <v>35.400000000000006</v>
      </c>
      <c r="AH11" s="18">
        <f>1-(AG11/AF$27)</f>
        <v>0.91147853187971639</v>
      </c>
      <c r="AI11" s="19"/>
      <c r="AJ11" s="19"/>
      <c r="AK11" s="20">
        <f t="shared" si="2"/>
        <v>91.147853187971634</v>
      </c>
    </row>
    <row r="12" spans="2:37" customFormat="1" ht="42.75" x14ac:dyDescent="0.25">
      <c r="B12" s="25" t="s">
        <v>38</v>
      </c>
      <c r="C12" s="26" t="s">
        <v>39</v>
      </c>
      <c r="D12" s="26" t="s">
        <v>40</v>
      </c>
      <c r="E12" s="26" t="s">
        <v>41</v>
      </c>
      <c r="F12" s="1"/>
      <c r="G12" s="24" t="s">
        <v>42</v>
      </c>
      <c r="H12" s="27">
        <v>1.4</v>
      </c>
      <c r="I12" s="10"/>
      <c r="J12" s="1"/>
      <c r="K12" s="1"/>
      <c r="L12" s="115"/>
      <c r="AC12" s="1"/>
      <c r="AD12" s="123">
        <v>90</v>
      </c>
      <c r="AE12" s="17">
        <f t="shared" si="0"/>
        <v>16.3</v>
      </c>
      <c r="AF12" s="17">
        <f t="shared" si="3"/>
        <v>16.3</v>
      </c>
      <c r="AG12" s="21">
        <f t="shared" si="4"/>
        <v>51.7</v>
      </c>
      <c r="AH12" s="18">
        <f t="shared" si="1"/>
        <v>0.87071864684128064</v>
      </c>
      <c r="AI12" s="19"/>
      <c r="AJ12" s="19"/>
      <c r="AK12" s="20">
        <f t="shared" si="2"/>
        <v>87.071864684128059</v>
      </c>
    </row>
    <row r="13" spans="2:37" customFormat="1" x14ac:dyDescent="0.25">
      <c r="B13" s="25"/>
      <c r="C13" s="26"/>
      <c r="D13" s="26"/>
      <c r="E13" s="28" t="s">
        <v>43</v>
      </c>
      <c r="F13" s="1"/>
      <c r="G13" s="24"/>
      <c r="H13" s="22"/>
      <c r="I13" s="22"/>
      <c r="J13" s="1"/>
      <c r="K13" s="1"/>
      <c r="L13" s="115"/>
      <c r="AC13" s="1"/>
      <c r="AD13" s="123">
        <v>64</v>
      </c>
      <c r="AE13" s="17">
        <f t="shared" si="0"/>
        <v>36.299999999999997</v>
      </c>
      <c r="AF13" s="17">
        <f t="shared" si="3"/>
        <v>36.299999999999997</v>
      </c>
      <c r="AG13" s="21">
        <f t="shared" si="4"/>
        <v>88</v>
      </c>
      <c r="AH13" s="18">
        <f t="shared" si="1"/>
        <v>0.77994663292132893</v>
      </c>
      <c r="AI13" s="19"/>
      <c r="AJ13" s="19"/>
      <c r="AK13" s="20">
        <f t="shared" si="2"/>
        <v>77.994663292132898</v>
      </c>
    </row>
    <row r="14" spans="2:37" customFormat="1" x14ac:dyDescent="0.25">
      <c r="B14" s="29">
        <v>1</v>
      </c>
      <c r="C14" s="30">
        <v>1.7</v>
      </c>
      <c r="D14" s="30">
        <v>63</v>
      </c>
      <c r="E14" s="113">
        <f t="shared" ref="E14:E20" si="5">D14-C14</f>
        <v>61.3</v>
      </c>
      <c r="F14" s="1"/>
      <c r="G14" s="24" t="s">
        <v>44</v>
      </c>
      <c r="H14" s="31">
        <v>408.1</v>
      </c>
      <c r="I14" s="4"/>
      <c r="J14" s="1"/>
      <c r="K14" s="1"/>
      <c r="L14" s="115"/>
      <c r="AC14" s="1"/>
      <c r="AD14" s="122">
        <v>45</v>
      </c>
      <c r="AE14" s="17">
        <f t="shared" si="0"/>
        <v>38.9</v>
      </c>
      <c r="AF14" s="17">
        <f t="shared" si="3"/>
        <v>38.9</v>
      </c>
      <c r="AG14" s="21">
        <f t="shared" si="4"/>
        <v>126.9</v>
      </c>
      <c r="AH14" s="18">
        <f t="shared" si="1"/>
        <v>0.68267304224677994</v>
      </c>
      <c r="AI14" s="19"/>
      <c r="AJ14" s="19"/>
      <c r="AK14" s="20">
        <f t="shared" si="2"/>
        <v>68.267304224678</v>
      </c>
    </row>
    <row r="15" spans="2:37" customFormat="1" x14ac:dyDescent="0.25">
      <c r="B15" s="29">
        <v>2</v>
      </c>
      <c r="C15" s="30">
        <v>1.7</v>
      </c>
      <c r="D15" s="30">
        <v>62.2</v>
      </c>
      <c r="E15" s="113">
        <f t="shared" si="5"/>
        <v>60.5</v>
      </c>
      <c r="F15" s="1"/>
      <c r="G15" s="1"/>
      <c r="H15" s="1"/>
      <c r="I15" s="1"/>
      <c r="J15" s="1"/>
      <c r="K15" s="1"/>
      <c r="L15" s="115"/>
      <c r="AC15" s="1"/>
      <c r="AD15" s="122">
        <v>32</v>
      </c>
      <c r="AE15" s="17">
        <f t="shared" si="0"/>
        <v>36.5</v>
      </c>
      <c r="AF15" s="17">
        <f t="shared" si="3"/>
        <v>36.5</v>
      </c>
      <c r="AG15" s="21">
        <f t="shared" si="4"/>
        <v>163.4</v>
      </c>
      <c r="AH15" s="18">
        <f t="shared" si="1"/>
        <v>0.59140090703801285</v>
      </c>
      <c r="AI15" s="19"/>
      <c r="AJ15" s="19"/>
      <c r="AK15" s="20">
        <f t="shared" si="2"/>
        <v>59.140090703801285</v>
      </c>
    </row>
    <row r="16" spans="2:37" customFormat="1" x14ac:dyDescent="0.25">
      <c r="B16" s="29">
        <v>3</v>
      </c>
      <c r="C16" s="30">
        <v>1.7</v>
      </c>
      <c r="D16" s="30">
        <v>61.1</v>
      </c>
      <c r="E16" s="113">
        <f t="shared" si="5"/>
        <v>59.4</v>
      </c>
      <c r="F16" s="1"/>
      <c r="G16" s="152" t="s">
        <v>45</v>
      </c>
      <c r="H16" s="152"/>
      <c r="I16" s="152"/>
      <c r="J16" s="152"/>
      <c r="K16" s="1"/>
      <c r="L16" s="3"/>
      <c r="AC16" s="1"/>
      <c r="AD16" s="122">
        <v>22.5</v>
      </c>
      <c r="AE16" s="17">
        <f t="shared" si="0"/>
        <v>37.5</v>
      </c>
      <c r="AF16" s="17">
        <f t="shared" si="3"/>
        <v>37.5</v>
      </c>
      <c r="AG16" s="21">
        <f t="shared" si="4"/>
        <v>200.9</v>
      </c>
      <c r="AH16" s="18">
        <f t="shared" si="1"/>
        <v>0.49762816538517007</v>
      </c>
      <c r="AI16" s="19"/>
      <c r="AJ16" s="19"/>
      <c r="AK16" s="20">
        <f t="shared" si="2"/>
        <v>49.762816538517008</v>
      </c>
    </row>
    <row r="17" spans="2:37" customFormat="1" x14ac:dyDescent="0.25">
      <c r="B17" s="29">
        <v>4</v>
      </c>
      <c r="C17" s="30">
        <v>1.7</v>
      </c>
      <c r="D17" s="30">
        <v>43.2</v>
      </c>
      <c r="E17" s="113">
        <f t="shared" si="5"/>
        <v>41.5</v>
      </c>
      <c r="F17" s="11" t="s">
        <v>46</v>
      </c>
      <c r="G17" s="29" t="s">
        <v>47</v>
      </c>
      <c r="H17" s="153" t="s">
        <v>48</v>
      </c>
      <c r="I17" s="154"/>
      <c r="J17" s="154"/>
      <c r="K17" s="155"/>
      <c r="L17" s="32"/>
      <c r="AC17" s="1"/>
      <c r="AD17" s="122">
        <v>16</v>
      </c>
      <c r="AE17" s="21">
        <f>+H39</f>
        <v>30.900000000000002</v>
      </c>
      <c r="AF17" s="17">
        <f t="shared" si="3"/>
        <v>30.900000000000002</v>
      </c>
      <c r="AG17" s="21">
        <f t="shared" si="4"/>
        <v>231.8</v>
      </c>
      <c r="AH17" s="18">
        <f t="shared" si="1"/>
        <v>0.42035942626322764</v>
      </c>
      <c r="AI17" s="33">
        <v>100</v>
      </c>
      <c r="AJ17" s="18">
        <f t="shared" ref="AJ17:AJ25" si="6">+AI17/100*AH$17</f>
        <v>0.42035942626322764</v>
      </c>
      <c r="AK17" s="20">
        <f t="shared" si="2"/>
        <v>42.035942626322765</v>
      </c>
    </row>
    <row r="18" spans="2:37" customFormat="1" x14ac:dyDescent="0.25">
      <c r="B18" s="29">
        <v>5</v>
      </c>
      <c r="C18" s="30">
        <v>1.7</v>
      </c>
      <c r="D18" s="30">
        <v>69.400000000000006</v>
      </c>
      <c r="E18" s="113">
        <f t="shared" si="5"/>
        <v>67.7</v>
      </c>
      <c r="F18" s="1"/>
      <c r="G18" s="34" t="s">
        <v>49</v>
      </c>
      <c r="H18" s="142" t="s">
        <v>50</v>
      </c>
      <c r="I18" s="143"/>
      <c r="J18" s="143"/>
      <c r="K18" s="144"/>
      <c r="L18" s="35"/>
      <c r="AC18" s="1"/>
      <c r="AD18" s="122">
        <v>8</v>
      </c>
      <c r="AE18" s="19"/>
      <c r="AF18" s="19"/>
      <c r="AG18" s="19"/>
      <c r="AH18" s="19"/>
      <c r="AI18" s="33">
        <v>75</v>
      </c>
      <c r="AJ18" s="18">
        <f t="shared" si="6"/>
        <v>0.3152695696974207</v>
      </c>
      <c r="AK18" s="20">
        <f t="shared" ref="AK18:AK25" si="7">+AJ18*100</f>
        <v>31.52695696974207</v>
      </c>
    </row>
    <row r="19" spans="2:37" customFormat="1" x14ac:dyDescent="0.25">
      <c r="B19" s="29">
        <v>6</v>
      </c>
      <c r="C19" s="30">
        <v>1.7</v>
      </c>
      <c r="D19" s="30">
        <v>43.4</v>
      </c>
      <c r="E19" s="113">
        <f t="shared" si="5"/>
        <v>41.699999999999996</v>
      </c>
      <c r="F19" s="1"/>
      <c r="G19" s="34"/>
      <c r="H19" s="142"/>
      <c r="I19" s="143"/>
      <c r="J19" s="143"/>
      <c r="K19" s="144"/>
      <c r="L19" s="35"/>
      <c r="AC19" s="1"/>
      <c r="AD19" s="122">
        <v>4</v>
      </c>
      <c r="AE19" s="19"/>
      <c r="AF19" s="19"/>
      <c r="AG19" s="19"/>
      <c r="AH19" s="19"/>
      <c r="AI19" s="33">
        <v>55</v>
      </c>
      <c r="AJ19" s="18">
        <f t="shared" si="6"/>
        <v>0.23119768444477523</v>
      </c>
      <c r="AK19" s="20">
        <f t="shared" si="7"/>
        <v>23.119768444477522</v>
      </c>
    </row>
    <row r="20" spans="2:37" customFormat="1" x14ac:dyDescent="0.25">
      <c r="B20" s="29">
        <v>7</v>
      </c>
      <c r="C20" s="30">
        <v>1.7</v>
      </c>
      <c r="D20" s="30">
        <v>65.8</v>
      </c>
      <c r="E20" s="114">
        <f t="shared" si="5"/>
        <v>64.099999999999994</v>
      </c>
      <c r="F20" s="1"/>
      <c r="G20" s="34"/>
      <c r="H20" s="142"/>
      <c r="I20" s="143"/>
      <c r="J20" s="143"/>
      <c r="K20" s="144"/>
      <c r="L20" s="35"/>
      <c r="AC20" s="1"/>
      <c r="AD20" s="122">
        <v>2</v>
      </c>
      <c r="AE20" s="19"/>
      <c r="AF20" s="19"/>
      <c r="AG20" s="19"/>
      <c r="AH20" s="19"/>
      <c r="AI20" s="33">
        <v>37</v>
      </c>
      <c r="AJ20" s="18">
        <f t="shared" si="6"/>
        <v>0.15553298771739424</v>
      </c>
      <c r="AK20" s="20">
        <f t="shared" si="7"/>
        <v>15.553298771739424</v>
      </c>
    </row>
    <row r="21" spans="2:37" customFormat="1" x14ac:dyDescent="0.25">
      <c r="B21" s="29">
        <v>8</v>
      </c>
      <c r="C21" s="30">
        <v>1.7</v>
      </c>
      <c r="D21" s="30">
        <v>13.6</v>
      </c>
      <c r="E21" s="114">
        <f>D21-C21</f>
        <v>11.9</v>
      </c>
      <c r="F21" s="1"/>
      <c r="G21" s="34"/>
      <c r="H21" s="142"/>
      <c r="I21" s="143"/>
      <c r="J21" s="143"/>
      <c r="K21" s="144"/>
      <c r="L21" s="35"/>
      <c r="AC21" s="1"/>
      <c r="AD21" s="122">
        <v>1</v>
      </c>
      <c r="AE21" s="19"/>
      <c r="AF21" s="19"/>
      <c r="AG21" s="19"/>
      <c r="AH21" s="19"/>
      <c r="AI21" s="33">
        <v>26</v>
      </c>
      <c r="AJ21" s="18">
        <f t="shared" si="6"/>
        <v>0.10929345082843919</v>
      </c>
      <c r="AK21" s="20">
        <f t="shared" si="7"/>
        <v>10.92934508284392</v>
      </c>
    </row>
    <row r="22" spans="2:37" customFormat="1" x14ac:dyDescent="0.25">
      <c r="B22" s="29">
        <v>9</v>
      </c>
      <c r="C22" s="30"/>
      <c r="D22" s="30"/>
      <c r="E22" s="114"/>
      <c r="F22" s="1"/>
      <c r="G22" s="34"/>
      <c r="H22" s="142"/>
      <c r="I22" s="143"/>
      <c r="J22" s="143"/>
      <c r="K22" s="144"/>
      <c r="L22" s="35"/>
      <c r="AC22" s="1"/>
      <c r="AD22" s="122">
        <v>0.5</v>
      </c>
      <c r="AE22" s="19"/>
      <c r="AF22" s="19"/>
      <c r="AG22" s="19"/>
      <c r="AH22" s="19"/>
      <c r="AI22" s="33">
        <v>18</v>
      </c>
      <c r="AJ22" s="18">
        <f t="shared" si="6"/>
        <v>7.5664696727380978E-2</v>
      </c>
      <c r="AK22" s="20">
        <f t="shared" si="7"/>
        <v>7.5664696727380978</v>
      </c>
    </row>
    <row r="23" spans="2:37" customFormat="1" x14ac:dyDescent="0.25">
      <c r="B23" s="29">
        <v>10</v>
      </c>
      <c r="C23" s="30"/>
      <c r="D23" s="30"/>
      <c r="E23" s="114"/>
      <c r="F23" s="1"/>
      <c r="G23" s="34"/>
      <c r="H23" s="142"/>
      <c r="I23" s="143"/>
      <c r="J23" s="143"/>
      <c r="K23" s="144"/>
      <c r="L23" s="35"/>
      <c r="AC23" s="1"/>
      <c r="AD23" s="124">
        <v>0.25</v>
      </c>
      <c r="AE23" s="19"/>
      <c r="AF23" s="19"/>
      <c r="AG23" s="19"/>
      <c r="AH23" s="19"/>
      <c r="AI23" s="33">
        <v>9</v>
      </c>
      <c r="AJ23" s="18">
        <f t="shared" si="6"/>
        <v>3.7832348363690489E-2</v>
      </c>
      <c r="AK23" s="20">
        <f t="shared" si="7"/>
        <v>3.7832348363690489</v>
      </c>
    </row>
    <row r="24" spans="2:37" customFormat="1" x14ac:dyDescent="0.25">
      <c r="B24" s="29" t="s">
        <v>51</v>
      </c>
      <c r="C24" s="30">
        <f>SUM(C14:C23)</f>
        <v>13.599999999999998</v>
      </c>
      <c r="D24" s="30">
        <f>SUM(D14:D23)</f>
        <v>421.7</v>
      </c>
      <c r="E24" s="113">
        <f>SUM(E14:E23)</f>
        <v>408.09999999999991</v>
      </c>
      <c r="F24" s="1"/>
      <c r="G24" s="34"/>
      <c r="H24" s="142"/>
      <c r="I24" s="143"/>
      <c r="J24" s="143"/>
      <c r="K24" s="144"/>
      <c r="L24" s="35"/>
      <c r="AC24" s="1"/>
      <c r="AD24" s="124">
        <v>0.125</v>
      </c>
      <c r="AE24" s="19"/>
      <c r="AF24" s="19"/>
      <c r="AG24" s="19"/>
      <c r="AH24" s="19"/>
      <c r="AI24" s="33">
        <v>5</v>
      </c>
      <c r="AJ24" s="125">
        <f t="shared" si="6"/>
        <v>2.1017971313161382E-2</v>
      </c>
      <c r="AK24" s="20">
        <f t="shared" si="7"/>
        <v>2.1017971313161383</v>
      </c>
    </row>
    <row r="25" spans="2:37" customFormat="1" x14ac:dyDescent="0.25">
      <c r="B25" s="36"/>
      <c r="C25" s="3"/>
      <c r="D25" s="3"/>
      <c r="E25" s="3"/>
      <c r="F25" s="1"/>
      <c r="G25" s="37"/>
      <c r="H25" s="38"/>
      <c r="I25" s="38"/>
      <c r="J25" s="39"/>
      <c r="K25" s="40" t="s">
        <v>52</v>
      </c>
      <c r="L25" s="3"/>
      <c r="AC25" s="1"/>
      <c r="AD25" s="124">
        <v>6.25E-2</v>
      </c>
      <c r="AE25" s="17"/>
      <c r="AF25" s="17"/>
      <c r="AG25" s="17"/>
      <c r="AH25" s="17"/>
      <c r="AI25" s="17">
        <v>3.4</v>
      </c>
      <c r="AJ25" s="125">
        <f t="shared" si="6"/>
        <v>1.4292220492949741E-2</v>
      </c>
      <c r="AK25" s="20">
        <f t="shared" si="7"/>
        <v>1.4292220492949741</v>
      </c>
    </row>
    <row r="26" spans="2:37" customFormat="1" ht="18" x14ac:dyDescent="0.25">
      <c r="B26" s="156" t="s">
        <v>53</v>
      </c>
      <c r="C26" s="157"/>
      <c r="D26" s="157"/>
      <c r="E26" s="157"/>
      <c r="F26" s="157"/>
      <c r="G26" s="157"/>
      <c r="H26" s="157"/>
      <c r="I26" s="158"/>
      <c r="J26" s="41"/>
      <c r="K26" s="32"/>
      <c r="L26" s="3"/>
      <c r="AC26" s="1"/>
      <c r="AD26" s="1"/>
      <c r="AE26" s="2">
        <f>+H40</f>
        <v>173.79999999999998</v>
      </c>
      <c r="AF26" s="126">
        <f>(AH3/H42)*AE26</f>
        <v>168.10299247972509</v>
      </c>
      <c r="AG26" s="2"/>
      <c r="AH26" s="1"/>
      <c r="AI26" s="1"/>
      <c r="AJ26" s="1"/>
      <c r="AK26" s="1"/>
    </row>
    <row r="27" spans="2:37" customFormat="1" x14ac:dyDescent="0.25">
      <c r="B27" s="42" t="s">
        <v>33</v>
      </c>
      <c r="C27" s="42" t="s">
        <v>34</v>
      </c>
      <c r="D27" s="42" t="s">
        <v>35</v>
      </c>
      <c r="E27" s="42" t="s">
        <v>36</v>
      </c>
      <c r="F27" s="42" t="s">
        <v>54</v>
      </c>
      <c r="G27" s="42" t="s">
        <v>55</v>
      </c>
      <c r="H27" s="42" t="s">
        <v>56</v>
      </c>
      <c r="I27" s="42" t="s">
        <v>57</v>
      </c>
      <c r="J27" s="43"/>
      <c r="K27" s="43"/>
      <c r="L27" s="1"/>
      <c r="AC27" s="1"/>
      <c r="AD27" s="1"/>
      <c r="AE27" s="1">
        <f>SUM(AE8:AE26)</f>
        <v>405.6</v>
      </c>
      <c r="AF27" s="1">
        <f>SUM(AF8:AF26)</f>
        <v>399.90299247972507</v>
      </c>
      <c r="AG27" s="2"/>
      <c r="AH27" s="1"/>
      <c r="AI27" s="1"/>
      <c r="AJ27" s="1"/>
      <c r="AK27" s="1"/>
    </row>
    <row r="28" spans="2:37" customFormat="1" ht="85.5" x14ac:dyDescent="0.25">
      <c r="B28" s="16" t="s">
        <v>58</v>
      </c>
      <c r="C28" s="44" t="s">
        <v>59</v>
      </c>
      <c r="D28" s="16" t="s">
        <v>60</v>
      </c>
      <c r="E28" s="16" t="s">
        <v>61</v>
      </c>
      <c r="F28" s="16" t="s">
        <v>62</v>
      </c>
      <c r="G28" s="16" t="s">
        <v>63</v>
      </c>
      <c r="H28" s="16" t="s">
        <v>64</v>
      </c>
      <c r="I28" s="16" t="s">
        <v>65</v>
      </c>
      <c r="J28" s="45"/>
      <c r="K28" s="45"/>
      <c r="L28" s="1"/>
      <c r="AC28" s="1"/>
      <c r="AD28" s="1"/>
      <c r="AE28" s="1"/>
      <c r="AF28" s="1"/>
      <c r="AG28" s="1"/>
      <c r="AH28" s="1"/>
      <c r="AI28" s="1"/>
      <c r="AJ28" s="1"/>
      <c r="AK28" s="1"/>
    </row>
    <row r="29" spans="2:37" customFormat="1" ht="22.5" x14ac:dyDescent="0.25">
      <c r="B29" s="17"/>
      <c r="C29" s="28"/>
      <c r="D29" s="16"/>
      <c r="E29" s="16"/>
      <c r="F29" s="16"/>
      <c r="G29" s="28" t="s">
        <v>66</v>
      </c>
      <c r="H29" s="28" t="s">
        <v>67</v>
      </c>
      <c r="I29" s="28" t="s">
        <v>68</v>
      </c>
      <c r="J29" s="46"/>
      <c r="K29" s="46"/>
      <c r="L29" s="1"/>
      <c r="AC29" s="1"/>
      <c r="AD29" s="127" t="s">
        <v>118</v>
      </c>
      <c r="AE29" s="127" t="s">
        <v>103</v>
      </c>
      <c r="AF29" s="1"/>
      <c r="AG29" s="1"/>
      <c r="AH29" s="1"/>
      <c r="AI29" s="1"/>
      <c r="AJ29" s="1"/>
      <c r="AK29" s="1"/>
    </row>
    <row r="30" spans="2:37" customFormat="1" x14ac:dyDescent="0.25">
      <c r="B30" s="34" t="s">
        <v>69</v>
      </c>
      <c r="C30" s="28"/>
      <c r="D30" s="16"/>
      <c r="E30" s="16"/>
      <c r="F30" s="16"/>
      <c r="G30" s="16"/>
      <c r="H30" s="116">
        <f>F30-G30</f>
        <v>0</v>
      </c>
      <c r="I30" s="116">
        <f>H30</f>
        <v>0</v>
      </c>
      <c r="J30" s="46"/>
      <c r="K30" s="46"/>
      <c r="L30" s="1"/>
      <c r="AC30" s="1"/>
      <c r="AD30" s="127">
        <v>16</v>
      </c>
      <c r="AE30" s="128">
        <f ca="1">10^(FORECAST(AD30,LOG(OFFSET(AD$8:AD$25,MATCH(AD30,AK$8:AK$25,-1)-1,0,2)),OFFSET(AK$8:AK$25,MATCH(AD30,AK$8:AK$25,-1)-1,0,2)))</f>
        <v>2.0835402084068195</v>
      </c>
      <c r="AF30" s="1"/>
      <c r="AG30" s="1"/>
      <c r="AH30" s="1"/>
      <c r="AI30" s="1"/>
      <c r="AJ30" s="1"/>
      <c r="AK30" s="1"/>
    </row>
    <row r="31" spans="2:37" customFormat="1" x14ac:dyDescent="0.25">
      <c r="B31" s="34" t="s">
        <v>70</v>
      </c>
      <c r="C31" s="30"/>
      <c r="D31" s="16"/>
      <c r="E31" s="16"/>
      <c r="F31" s="16"/>
      <c r="G31" s="16"/>
      <c r="H31" s="116">
        <f t="shared" ref="H31:H32" si="8">F31-G31</f>
        <v>0</v>
      </c>
      <c r="I31" s="117">
        <f>H31+I30</f>
        <v>0</v>
      </c>
      <c r="J31" s="46"/>
      <c r="K31" s="46"/>
      <c r="L31" s="1"/>
      <c r="AC31" s="1"/>
      <c r="AD31" s="127">
        <v>50</v>
      </c>
      <c r="AE31" s="128">
        <f ca="1">10^(FORECAST(AD31,LOG(OFFSET(AD$8:AD$25,MATCH(AD31,AK$8:AK$25,-1)-1,0,2)),OFFSET(AK$8:AK$25,MATCH(AD31,AK$8:AK$25,-1)-1,0,2)))</f>
        <v>22.701345081152066</v>
      </c>
      <c r="AF31" s="1"/>
      <c r="AG31" s="1"/>
      <c r="AH31" s="1"/>
      <c r="AI31" s="1"/>
      <c r="AJ31" s="1"/>
      <c r="AK31" s="1"/>
    </row>
    <row r="32" spans="2:37" customFormat="1" x14ac:dyDescent="0.25">
      <c r="B32" s="34" t="s">
        <v>71</v>
      </c>
      <c r="C32" s="30">
        <v>1.7</v>
      </c>
      <c r="D32" s="16">
        <v>24.6</v>
      </c>
      <c r="E32" s="16"/>
      <c r="F32" s="16">
        <v>24.6</v>
      </c>
      <c r="G32" s="30">
        <v>1.7</v>
      </c>
      <c r="H32" s="116">
        <f t="shared" si="8"/>
        <v>22.900000000000002</v>
      </c>
      <c r="I32" s="117">
        <f t="shared" ref="I32:I33" si="9">H32+I31</f>
        <v>22.900000000000002</v>
      </c>
      <c r="J32" s="46"/>
      <c r="K32" s="46"/>
      <c r="L32" s="1"/>
      <c r="AC32" s="1"/>
      <c r="AD32" s="127">
        <v>84</v>
      </c>
      <c r="AE32" s="128">
        <f ca="1">10^(FORECAST(AD32,LOG(OFFSET(AD$8:AD$25,MATCH(AD32,AK$8:AK$25,-1)-1,0,2)),OFFSET(AK$8:AK$25,MATCH(AD32,AK$8:AK$25,-1)-1,0,2)))</f>
        <v>80.19289060551435</v>
      </c>
      <c r="AF32" s="1"/>
      <c r="AG32" s="1"/>
      <c r="AH32" s="1"/>
      <c r="AI32" s="1"/>
      <c r="AJ32" s="1"/>
      <c r="AK32" s="1"/>
    </row>
    <row r="33" spans="2:32" customFormat="1" x14ac:dyDescent="0.25">
      <c r="B33" s="34" t="s">
        <v>72</v>
      </c>
      <c r="C33" s="30">
        <v>1.7</v>
      </c>
      <c r="D33" s="47">
        <v>14.2</v>
      </c>
      <c r="E33" s="47"/>
      <c r="F33" s="47">
        <v>14.2</v>
      </c>
      <c r="G33" s="30">
        <v>1.7</v>
      </c>
      <c r="H33" s="117">
        <f>F33-G33</f>
        <v>12.5</v>
      </c>
      <c r="I33" s="117">
        <f t="shared" si="9"/>
        <v>35.400000000000006</v>
      </c>
      <c r="J33" s="46"/>
      <c r="K33" s="46"/>
      <c r="AD33" s="127">
        <v>90</v>
      </c>
      <c r="AE33" s="128">
        <f ca="1">10^(FORECAST(AD33,LOG(OFFSET(AD$8:AD$25,MATCH(AD33,AK$8:AK$25,-1)-1,0,2)),OFFSET(AK$8:AK$25,MATCH(AD33,AK$8:AK$25,-1)-1,0,2)))</f>
        <v>115.91303447275082</v>
      </c>
      <c r="AF33" s="1"/>
    </row>
    <row r="34" spans="2:32" customFormat="1" x14ac:dyDescent="0.25">
      <c r="B34" s="48" t="s">
        <v>73</v>
      </c>
      <c r="C34" s="30">
        <v>1.7</v>
      </c>
      <c r="D34" s="30">
        <v>18</v>
      </c>
      <c r="E34" s="30"/>
      <c r="F34" s="30">
        <v>18</v>
      </c>
      <c r="G34" s="30">
        <v>1.7</v>
      </c>
      <c r="H34" s="117">
        <f t="shared" ref="H34:H40" si="10">F34-G34</f>
        <v>16.3</v>
      </c>
      <c r="I34" s="117">
        <f>I33+H34</f>
        <v>51.7</v>
      </c>
      <c r="J34" s="3"/>
      <c r="K34" s="3"/>
      <c r="AD34" s="129"/>
      <c r="AE34" s="129"/>
    </row>
    <row r="35" spans="2:32" customFormat="1" x14ac:dyDescent="0.25">
      <c r="B35" s="48" t="s">
        <v>74</v>
      </c>
      <c r="C35" s="30">
        <v>1.7</v>
      </c>
      <c r="D35" s="30">
        <v>38</v>
      </c>
      <c r="E35" s="30"/>
      <c r="F35" s="30">
        <v>38</v>
      </c>
      <c r="G35" s="30">
        <v>1.7</v>
      </c>
      <c r="H35" s="117">
        <f t="shared" si="10"/>
        <v>36.299999999999997</v>
      </c>
      <c r="I35" s="117">
        <f t="shared" ref="I35:I40" si="11">I34+H35</f>
        <v>88</v>
      </c>
      <c r="J35" s="3"/>
      <c r="K35" s="3"/>
      <c r="AD35" s="127" t="s">
        <v>119</v>
      </c>
      <c r="AE35" s="128">
        <f ca="1">0.5*(AE32/AE31+AE31/AE30)</f>
        <v>7.2140404246626906</v>
      </c>
    </row>
    <row r="36" spans="2:32" customFormat="1" x14ac:dyDescent="0.25">
      <c r="B36" s="30">
        <v>45</v>
      </c>
      <c r="C36" s="30">
        <v>1.7</v>
      </c>
      <c r="D36" s="30">
        <v>40.6</v>
      </c>
      <c r="E36" s="30"/>
      <c r="F36" s="30">
        <v>40.6</v>
      </c>
      <c r="G36" s="30">
        <v>1.7</v>
      </c>
      <c r="H36" s="117">
        <f t="shared" si="10"/>
        <v>38.9</v>
      </c>
      <c r="I36" s="117">
        <f t="shared" si="11"/>
        <v>126.9</v>
      </c>
      <c r="J36" s="3"/>
      <c r="K36" s="3"/>
      <c r="AD36" s="129" t="s">
        <v>120</v>
      </c>
      <c r="AE36" s="128">
        <f>100-AK20</f>
        <v>84.446701228260579</v>
      </c>
    </row>
    <row r="37" spans="2:32" customFormat="1" x14ac:dyDescent="0.25">
      <c r="B37" s="30">
        <v>32</v>
      </c>
      <c r="C37" s="30">
        <v>1.7</v>
      </c>
      <c r="D37" s="30">
        <v>38.200000000000003</v>
      </c>
      <c r="E37" s="30"/>
      <c r="F37" s="30">
        <v>38.200000000000003</v>
      </c>
      <c r="G37" s="30">
        <v>1.7</v>
      </c>
      <c r="H37" s="117">
        <f t="shared" si="10"/>
        <v>36.5</v>
      </c>
      <c r="I37" s="117">
        <f t="shared" si="11"/>
        <v>163.4</v>
      </c>
      <c r="J37" s="3"/>
      <c r="K37" s="3"/>
      <c r="AD37" s="129" t="s">
        <v>121</v>
      </c>
      <c r="AE37" s="128">
        <f>AK20-AK25</f>
        <v>14.12407672244445</v>
      </c>
    </row>
    <row r="38" spans="2:32" customFormat="1" x14ac:dyDescent="0.25">
      <c r="B38" s="30">
        <v>22.5</v>
      </c>
      <c r="C38" s="30">
        <v>1.7</v>
      </c>
      <c r="D38" s="30">
        <v>39.200000000000003</v>
      </c>
      <c r="E38" s="30"/>
      <c r="F38" s="30">
        <v>39.200000000000003</v>
      </c>
      <c r="G38" s="30">
        <v>1.7</v>
      </c>
      <c r="H38" s="117">
        <f t="shared" si="10"/>
        <v>37.5</v>
      </c>
      <c r="I38" s="117">
        <f>I37+H38</f>
        <v>200.9</v>
      </c>
      <c r="J38" s="3"/>
      <c r="K38" s="3"/>
      <c r="AD38" s="127" t="s">
        <v>122</v>
      </c>
      <c r="AE38" s="128">
        <f>AK25</f>
        <v>1.4292220492949741</v>
      </c>
    </row>
    <row r="39" spans="2:32" customFormat="1" x14ac:dyDescent="0.25">
      <c r="B39" s="30">
        <v>16</v>
      </c>
      <c r="C39" s="30">
        <v>1.7</v>
      </c>
      <c r="D39" s="30">
        <v>32.6</v>
      </c>
      <c r="E39" s="30"/>
      <c r="F39" s="30">
        <v>32.6</v>
      </c>
      <c r="G39" s="30">
        <v>1.7</v>
      </c>
      <c r="H39" s="117">
        <f t="shared" si="10"/>
        <v>30.900000000000002</v>
      </c>
      <c r="I39" s="117">
        <f t="shared" si="11"/>
        <v>231.8</v>
      </c>
      <c r="J39" s="49"/>
      <c r="K39" s="3"/>
    </row>
    <row r="40" spans="2:32" customFormat="1" x14ac:dyDescent="0.25">
      <c r="B40" s="34" t="s">
        <v>75</v>
      </c>
      <c r="C40" s="30">
        <v>66.400000000000006</v>
      </c>
      <c r="D40" s="30">
        <v>240.2</v>
      </c>
      <c r="E40" s="30"/>
      <c r="F40" s="30">
        <v>240.2</v>
      </c>
      <c r="G40" s="30">
        <v>66.400000000000006</v>
      </c>
      <c r="H40" s="117">
        <f t="shared" si="10"/>
        <v>173.79999999999998</v>
      </c>
      <c r="I40" s="117">
        <f t="shared" si="11"/>
        <v>405.6</v>
      </c>
      <c r="J40" s="3"/>
      <c r="K40" s="3"/>
    </row>
    <row r="41" spans="2:32" customFormat="1" x14ac:dyDescent="0.25">
      <c r="B41" s="34" t="s">
        <v>51</v>
      </c>
      <c r="C41" s="30">
        <f>SUM(C32:C40)</f>
        <v>80</v>
      </c>
      <c r="D41" s="30">
        <f>SUM(D32:D40)</f>
        <v>485.6</v>
      </c>
      <c r="E41" s="17"/>
      <c r="F41" s="30">
        <f>SUM(F32:F40)</f>
        <v>485.6</v>
      </c>
      <c r="G41" s="21">
        <f>SUM(G32:G40)</f>
        <v>80</v>
      </c>
      <c r="H41" s="113">
        <f>F41-G41</f>
        <v>405.6</v>
      </c>
      <c r="I41" s="118">
        <f>I40</f>
        <v>405.6</v>
      </c>
      <c r="J41" s="3"/>
      <c r="K41" s="3"/>
    </row>
    <row r="42" spans="2:32" customFormat="1" ht="29.25" x14ac:dyDescent="0.25">
      <c r="B42" s="50" t="s">
        <v>76</v>
      </c>
      <c r="C42" s="51">
        <v>1.7</v>
      </c>
      <c r="D42" s="51">
        <v>30.8</v>
      </c>
      <c r="E42" s="52"/>
      <c r="F42" s="53"/>
      <c r="G42" s="54"/>
      <c r="H42" s="119">
        <f>D42-C42</f>
        <v>29.1</v>
      </c>
      <c r="I42" s="120"/>
      <c r="J42" s="3"/>
      <c r="K42" s="3"/>
    </row>
    <row r="43" spans="2:32" customFormat="1" x14ac:dyDescent="0.25">
      <c r="B43" s="55" t="s">
        <v>77</v>
      </c>
      <c r="C43" s="1"/>
      <c r="D43" s="1"/>
      <c r="E43" s="1"/>
      <c r="F43" s="1"/>
      <c r="G43" s="1"/>
      <c r="H43" s="1"/>
      <c r="I43" s="1"/>
      <c r="J43" s="3"/>
      <c r="K43" s="3"/>
    </row>
    <row r="44" spans="2:32" customFormat="1" x14ac:dyDescent="0.25">
      <c r="B44" s="55"/>
      <c r="C44" s="1"/>
      <c r="D44" s="1"/>
      <c r="E44" s="1"/>
      <c r="F44" s="1"/>
      <c r="G44" s="1"/>
      <c r="H44" s="1"/>
      <c r="I44" s="1"/>
      <c r="J44" s="3"/>
      <c r="K44" s="3"/>
    </row>
    <row r="45" spans="2:32" customFormat="1" x14ac:dyDescent="0.25">
      <c r="B45" s="159" t="s">
        <v>78</v>
      </c>
      <c r="C45" s="159"/>
      <c r="D45" s="159"/>
      <c r="E45" s="56" t="s">
        <v>79</v>
      </c>
      <c r="F45" s="31"/>
      <c r="G45" s="57" t="s">
        <v>80</v>
      </c>
      <c r="H45" s="58">
        <f>+(E24-H41)/E24</f>
        <v>6.1259495221756598E-3</v>
      </c>
      <c r="I45" s="56"/>
      <c r="J45" s="3"/>
      <c r="K45" s="3"/>
    </row>
    <row r="46" spans="2:32" customFormat="1" x14ac:dyDescent="0.25">
      <c r="B46" s="160" t="s">
        <v>81</v>
      </c>
      <c r="C46" s="160"/>
      <c r="D46" s="160"/>
      <c r="E46" s="57">
        <v>408.1</v>
      </c>
      <c r="F46" s="1"/>
      <c r="G46" s="1"/>
      <c r="H46" s="1"/>
      <c r="I46" s="1"/>
      <c r="J46" s="1"/>
      <c r="K46" s="1"/>
    </row>
    <row r="47" spans="2:32" customFormat="1" x14ac:dyDescent="0.25">
      <c r="B47" s="37"/>
      <c r="C47" s="37"/>
      <c r="D47" s="37"/>
      <c r="E47" s="1"/>
      <c r="F47" s="1"/>
      <c r="G47" s="1"/>
      <c r="H47" s="1"/>
      <c r="I47" s="1"/>
      <c r="J47" s="1"/>
      <c r="K47" s="1"/>
    </row>
    <row r="48" spans="2:32" customFormat="1" x14ac:dyDescent="0.25">
      <c r="B48" s="161" t="s">
        <v>82</v>
      </c>
      <c r="C48" s="161"/>
      <c r="D48" s="161"/>
      <c r="E48" s="161"/>
      <c r="F48" s="161"/>
      <c r="G48" s="161"/>
      <c r="H48" s="161"/>
      <c r="I48" s="161"/>
      <c r="J48" s="161"/>
      <c r="K48" s="59"/>
    </row>
    <row r="49" spans="2:11" customFormat="1" x14ac:dyDescent="0.25">
      <c r="B49" s="161"/>
      <c r="C49" s="161"/>
      <c r="D49" s="161"/>
      <c r="E49" s="161"/>
      <c r="F49" s="161"/>
      <c r="G49" s="161"/>
      <c r="H49" s="161"/>
      <c r="I49" s="161"/>
      <c r="J49" s="161"/>
      <c r="K49" s="59"/>
    </row>
    <row r="50" spans="2:11" customFormat="1" x14ac:dyDescent="0.25">
      <c r="B50" s="4" t="s">
        <v>83</v>
      </c>
      <c r="C50" s="4" t="s">
        <v>84</v>
      </c>
      <c r="D50" s="1"/>
      <c r="E50" s="1"/>
      <c r="F50" s="1" t="s">
        <v>85</v>
      </c>
      <c r="G50" s="60"/>
      <c r="H50" s="61">
        <v>201</v>
      </c>
      <c r="I50" s="1"/>
      <c r="J50" s="24" t="s">
        <v>86</v>
      </c>
      <c r="K50" s="24" t="s">
        <v>87</v>
      </c>
    </row>
    <row r="51" spans="2:11" customFormat="1" x14ac:dyDescent="0.25">
      <c r="B51" s="1"/>
      <c r="C51" s="1"/>
      <c r="D51" s="1"/>
      <c r="E51" s="1"/>
      <c r="F51" s="1"/>
      <c r="G51" s="1"/>
      <c r="H51" s="1"/>
      <c r="I51" s="1"/>
      <c r="J51" s="1"/>
      <c r="K51" s="35"/>
    </row>
    <row r="52" spans="2:11" customFormat="1" x14ac:dyDescent="0.25">
      <c r="B52" s="1"/>
      <c r="C52" s="1"/>
      <c r="D52" s="1"/>
      <c r="E52" s="1"/>
      <c r="F52" s="1"/>
      <c r="G52" s="1"/>
      <c r="H52" s="1"/>
      <c r="I52" s="1"/>
      <c r="J52" s="1"/>
      <c r="K52" s="35"/>
    </row>
    <row r="53" spans="2:11" customFormat="1" x14ac:dyDescent="0.25">
      <c r="B53" s="1"/>
      <c r="C53" s="1"/>
      <c r="D53" s="1"/>
      <c r="E53" s="1"/>
      <c r="F53" s="1"/>
      <c r="G53" s="1"/>
      <c r="H53" s="1"/>
      <c r="I53" s="1"/>
      <c r="J53" s="1"/>
      <c r="K53" s="35"/>
    </row>
    <row r="54" spans="2:11" customFormat="1" x14ac:dyDescent="0.25">
      <c r="B54" s="1"/>
      <c r="C54" s="1"/>
      <c r="D54" s="1"/>
      <c r="E54" s="1"/>
      <c r="F54" s="1"/>
      <c r="G54" s="1"/>
      <c r="H54" s="1"/>
      <c r="I54" s="1"/>
      <c r="J54" s="1"/>
      <c r="K54" s="35"/>
    </row>
    <row r="55" spans="2:11" customFormat="1" x14ac:dyDescent="0.25">
      <c r="B55" s="3"/>
      <c r="C55" s="3"/>
      <c r="D55" s="1"/>
      <c r="E55" s="1"/>
      <c r="F55" s="1"/>
      <c r="G55" s="1"/>
      <c r="H55" s="1"/>
      <c r="I55" s="1"/>
      <c r="J55" s="1"/>
      <c r="K55" s="1"/>
    </row>
  </sheetData>
  <mergeCells count="17">
    <mergeCell ref="H24:K24"/>
    <mergeCell ref="B26:I26"/>
    <mergeCell ref="B45:D45"/>
    <mergeCell ref="B46:D46"/>
    <mergeCell ref="B48:J49"/>
    <mergeCell ref="H23:K23"/>
    <mergeCell ref="AD1:AK1"/>
    <mergeCell ref="B2:K2"/>
    <mergeCell ref="AE6:AH6"/>
    <mergeCell ref="B10:E10"/>
    <mergeCell ref="G16:J16"/>
    <mergeCell ref="H17:K17"/>
    <mergeCell ref="H18:K18"/>
    <mergeCell ref="H19:K19"/>
    <mergeCell ref="H20:K20"/>
    <mergeCell ref="H21:K21"/>
    <mergeCell ref="H22:K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workbookViewId="0">
      <selection activeCell="W52" sqref="W52"/>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66" customWidth="1"/>
    <col min="9" max="9" width="6.7109375" style="3" customWidth="1"/>
    <col min="10" max="13" width="9.7109375" style="3" customWidth="1"/>
    <col min="14" max="16" width="6.7109375" style="3" customWidth="1"/>
    <col min="17" max="20" width="9.7109375" style="3"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3" customWidth="1"/>
    <col min="31" max="31" width="11.140625" style="3" customWidth="1"/>
    <col min="32" max="32" width="12.7109375" style="1" customWidth="1"/>
    <col min="33" max="33" width="9.140625" style="1" customWidth="1"/>
    <col min="34" max="16384" width="8.85546875" style="1"/>
  </cols>
  <sheetData>
    <row r="1" spans="2:33" x14ac:dyDescent="0.2">
      <c r="H1" s="62"/>
      <c r="I1" s="1"/>
      <c r="J1" s="1"/>
      <c r="K1" s="1"/>
      <c r="L1" s="1"/>
      <c r="M1" s="1"/>
      <c r="N1" s="1"/>
      <c r="O1" s="1"/>
      <c r="P1" s="1"/>
      <c r="Q1" s="1"/>
      <c r="R1" s="1"/>
      <c r="S1" s="1"/>
      <c r="T1" s="1"/>
      <c r="AA1" s="1"/>
      <c r="AB1" s="1"/>
      <c r="AC1" s="1"/>
      <c r="AD1" s="1"/>
      <c r="AE1" s="1"/>
    </row>
    <row r="2" spans="2:33" ht="23.25" x14ac:dyDescent="0.35">
      <c r="B2" s="145" t="s">
        <v>88</v>
      </c>
      <c r="C2" s="145"/>
      <c r="D2" s="145"/>
      <c r="E2" s="145"/>
      <c r="F2" s="145"/>
      <c r="G2" s="145"/>
      <c r="H2" s="145"/>
      <c r="I2" s="145"/>
      <c r="J2" s="145"/>
      <c r="K2" s="145"/>
      <c r="L2" s="145"/>
      <c r="M2" s="145"/>
      <c r="N2" s="145"/>
      <c r="O2" s="145"/>
      <c r="P2" s="145"/>
      <c r="Q2" s="145"/>
      <c r="R2" s="145"/>
      <c r="S2" s="145"/>
      <c r="T2" s="145"/>
      <c r="U2" s="145"/>
      <c r="V2" s="145"/>
      <c r="X2" s="145" t="s">
        <v>88</v>
      </c>
      <c r="Y2" s="145"/>
      <c r="Z2" s="145"/>
      <c r="AA2" s="145"/>
      <c r="AB2" s="145"/>
      <c r="AC2" s="145"/>
      <c r="AD2" s="145"/>
      <c r="AE2" s="145"/>
      <c r="AF2" s="63"/>
    </row>
    <row r="3" spans="2:33" ht="23.25" x14ac:dyDescent="0.35">
      <c r="B3" s="64"/>
      <c r="C3" s="64"/>
      <c r="D3" s="64"/>
      <c r="E3" s="64"/>
      <c r="F3" s="64"/>
      <c r="G3" s="64"/>
      <c r="H3" s="65"/>
      <c r="I3" s="64"/>
      <c r="J3" s="64"/>
      <c r="K3" s="64"/>
      <c r="L3" s="64"/>
      <c r="M3" s="64"/>
      <c r="N3" s="64"/>
      <c r="O3" s="64"/>
      <c r="P3" s="64"/>
      <c r="Q3" s="64"/>
      <c r="R3" s="64"/>
      <c r="S3" s="64"/>
      <c r="T3" s="64"/>
      <c r="U3" s="63"/>
      <c r="X3" s="64"/>
      <c r="Y3" s="64"/>
      <c r="Z3" s="64"/>
      <c r="AA3" s="64"/>
      <c r="AB3" s="64"/>
      <c r="AC3" s="64"/>
      <c r="AD3" s="64"/>
      <c r="AE3" s="64"/>
      <c r="AF3" s="63"/>
    </row>
    <row r="4" spans="2:33" x14ac:dyDescent="0.2">
      <c r="B4" s="4" t="s">
        <v>89</v>
      </c>
      <c r="C4" s="4"/>
      <c r="D4" s="4" t="s">
        <v>90</v>
      </c>
      <c r="E4" s="4"/>
      <c r="F4" s="4"/>
      <c r="G4" s="4"/>
      <c r="J4" s="1"/>
      <c r="K4" s="4" t="s">
        <v>91</v>
      </c>
      <c r="L4" s="4" t="s">
        <v>92</v>
      </c>
      <c r="M4" s="4"/>
      <c r="N4" s="4"/>
      <c r="O4" s="4"/>
      <c r="P4" s="4"/>
      <c r="Q4" s="4"/>
      <c r="R4" s="4"/>
      <c r="S4" s="4"/>
      <c r="T4" s="4"/>
      <c r="X4" s="3" t="s">
        <v>89</v>
      </c>
      <c r="Y4" s="4"/>
      <c r="Z4" s="4"/>
      <c r="AA4" s="1" t="s">
        <v>6</v>
      </c>
      <c r="AB4" s="4"/>
      <c r="AC4" s="4"/>
      <c r="AD4" s="4"/>
    </row>
    <row r="5" spans="2:33" x14ac:dyDescent="0.2">
      <c r="B5" s="10" t="s">
        <v>93</v>
      </c>
      <c r="C5" s="10"/>
      <c r="D5" s="10" t="s">
        <v>94</v>
      </c>
      <c r="E5" s="10"/>
      <c r="F5" s="10"/>
      <c r="G5" s="10"/>
      <c r="J5" s="1"/>
      <c r="K5" s="10" t="s">
        <v>95</v>
      </c>
      <c r="L5" s="10">
        <v>128.1</v>
      </c>
      <c r="M5" s="10"/>
      <c r="N5" s="10"/>
      <c r="O5" s="10"/>
      <c r="P5" s="10"/>
      <c r="Q5" s="10"/>
      <c r="R5" s="10"/>
      <c r="S5" s="10"/>
      <c r="T5" s="10"/>
      <c r="X5" s="3" t="s">
        <v>93</v>
      </c>
      <c r="Y5" s="10"/>
      <c r="Z5" s="10"/>
      <c r="AA5" s="1" t="s">
        <v>96</v>
      </c>
      <c r="AB5" s="10"/>
      <c r="AC5" s="10"/>
      <c r="AD5" s="10"/>
    </row>
    <row r="6" spans="2:33" x14ac:dyDescent="0.2">
      <c r="B6" s="10" t="s">
        <v>10</v>
      </c>
      <c r="C6" s="10"/>
      <c r="D6" s="8">
        <v>41470</v>
      </c>
      <c r="E6" s="10"/>
      <c r="F6" s="10"/>
      <c r="G6" s="10"/>
      <c r="J6" s="1"/>
      <c r="K6" s="10" t="s">
        <v>97</v>
      </c>
      <c r="L6" s="10"/>
      <c r="M6" s="10" t="s">
        <v>98</v>
      </c>
      <c r="N6" s="10"/>
      <c r="O6" s="10"/>
      <c r="P6" s="10"/>
      <c r="Q6" s="10"/>
      <c r="R6" s="10"/>
      <c r="S6" s="10"/>
      <c r="T6" s="10"/>
      <c r="U6" s="10"/>
      <c r="V6" s="10"/>
      <c r="X6" s="3" t="s">
        <v>10</v>
      </c>
      <c r="Y6" s="10"/>
      <c r="Z6" s="10"/>
      <c r="AA6" s="3" t="s">
        <v>13</v>
      </c>
      <c r="AB6" s="10"/>
      <c r="AC6" s="10"/>
      <c r="AD6" s="22"/>
    </row>
    <row r="7" spans="2:33" x14ac:dyDescent="0.2">
      <c r="B7" s="10" t="s">
        <v>13</v>
      </c>
      <c r="C7" s="10"/>
      <c r="D7" s="10"/>
      <c r="E7" s="10"/>
      <c r="F7" s="10"/>
      <c r="G7" s="10"/>
      <c r="J7" s="11"/>
      <c r="K7" s="67" t="s">
        <v>99</v>
      </c>
      <c r="L7" s="67"/>
      <c r="M7" s="14" t="s">
        <v>100</v>
      </c>
      <c r="N7" s="13"/>
      <c r="O7" s="13"/>
      <c r="P7" s="13"/>
      <c r="Q7" s="10"/>
      <c r="R7" s="10"/>
      <c r="S7" s="10"/>
      <c r="T7" s="10"/>
      <c r="U7" s="10"/>
      <c r="V7" s="10"/>
      <c r="X7" s="3"/>
      <c r="Y7" s="3"/>
      <c r="Z7" s="3"/>
      <c r="AA7" s="3" t="s">
        <v>28</v>
      </c>
      <c r="AB7" s="10"/>
      <c r="AC7" s="10"/>
      <c r="AD7" s="36"/>
    </row>
    <row r="8" spans="2:33" x14ac:dyDescent="0.2">
      <c r="B8" s="10" t="s">
        <v>28</v>
      </c>
      <c r="C8" s="10"/>
      <c r="D8" s="10" t="s">
        <v>29</v>
      </c>
      <c r="E8" s="10"/>
      <c r="F8" s="10"/>
      <c r="G8" s="10"/>
      <c r="K8" s="10"/>
      <c r="L8" s="10"/>
      <c r="M8" s="10"/>
      <c r="N8" s="10"/>
      <c r="O8" s="10"/>
      <c r="P8" s="10"/>
      <c r="Q8" s="10"/>
      <c r="R8" s="10"/>
      <c r="S8" s="10"/>
      <c r="T8" s="10"/>
      <c r="U8" s="10"/>
      <c r="V8" s="10"/>
      <c r="X8" s="3" t="s">
        <v>101</v>
      </c>
      <c r="Y8" s="3"/>
      <c r="Z8" s="3"/>
      <c r="AA8" s="68"/>
      <c r="AB8" s="36"/>
      <c r="AC8" s="36"/>
      <c r="AD8" s="36"/>
    </row>
    <row r="9" spans="2:33" x14ac:dyDescent="0.2">
      <c r="B9" s="10" t="s">
        <v>102</v>
      </c>
      <c r="C9" s="10"/>
      <c r="D9" s="10"/>
      <c r="E9" s="10"/>
      <c r="F9" s="10"/>
      <c r="G9" s="10"/>
      <c r="H9" s="62"/>
      <c r="I9" s="1"/>
      <c r="J9" s="1"/>
      <c r="K9" s="10"/>
      <c r="L9" s="10"/>
      <c r="M9" s="10"/>
      <c r="N9" s="10"/>
      <c r="O9" s="10"/>
      <c r="P9" s="10"/>
      <c r="Q9" s="10"/>
      <c r="R9" s="10"/>
      <c r="S9" s="10"/>
      <c r="T9" s="10"/>
      <c r="U9" s="10"/>
      <c r="V9" s="10"/>
      <c r="X9" s="4"/>
      <c r="Y9" s="4"/>
      <c r="Z9" s="4"/>
      <c r="AA9" s="69"/>
      <c r="AB9" s="5"/>
      <c r="AC9" s="5"/>
      <c r="AD9" s="5"/>
      <c r="AE9" s="4"/>
      <c r="AF9" s="4"/>
    </row>
    <row r="10" spans="2:33" s="3" customFormat="1" ht="15.75" x14ac:dyDescent="0.25">
      <c r="B10" s="70"/>
      <c r="C10" s="162"/>
      <c r="D10" s="162"/>
      <c r="E10" s="162"/>
      <c r="F10" s="162"/>
      <c r="G10" s="162"/>
      <c r="H10" s="162"/>
      <c r="I10" s="71"/>
      <c r="J10" s="71"/>
      <c r="K10" s="71"/>
      <c r="L10" s="71"/>
      <c r="N10" s="70"/>
      <c r="X10" s="10"/>
      <c r="Y10" s="10"/>
      <c r="Z10" s="10"/>
      <c r="AA10" s="67"/>
      <c r="AB10" s="13"/>
      <c r="AC10" s="13"/>
      <c r="AD10" s="13"/>
      <c r="AE10" s="10"/>
      <c r="AF10" s="10"/>
      <c r="AG10" s="1"/>
    </row>
    <row r="11" spans="2:33" s="3" customFormat="1" ht="32.25" thickBot="1" x14ac:dyDescent="0.25">
      <c r="B11" s="72" t="s">
        <v>103</v>
      </c>
      <c r="C11" s="163" t="s">
        <v>104</v>
      </c>
      <c r="D11" s="163"/>
      <c r="E11" s="163"/>
      <c r="F11" s="163"/>
      <c r="G11" s="73" t="s">
        <v>105</v>
      </c>
      <c r="H11" s="73" t="s">
        <v>106</v>
      </c>
      <c r="I11" s="72" t="s">
        <v>103</v>
      </c>
      <c r="J11" s="163" t="s">
        <v>107</v>
      </c>
      <c r="K11" s="163"/>
      <c r="L11" s="163"/>
      <c r="M11" s="163"/>
      <c r="N11" s="73" t="s">
        <v>105</v>
      </c>
      <c r="O11" s="73" t="s">
        <v>106</v>
      </c>
      <c r="P11" s="72" t="s">
        <v>103</v>
      </c>
      <c r="Q11" s="163" t="s">
        <v>108</v>
      </c>
      <c r="R11" s="163"/>
      <c r="S11" s="163"/>
      <c r="T11" s="163"/>
      <c r="U11" s="73" t="s">
        <v>105</v>
      </c>
      <c r="V11" s="73" t="s">
        <v>106</v>
      </c>
      <c r="W11" s="74" t="s">
        <v>109</v>
      </c>
      <c r="X11" s="10"/>
      <c r="Y11" s="10"/>
      <c r="Z11" s="10"/>
      <c r="AA11" s="67"/>
      <c r="AB11" s="13"/>
      <c r="AC11" s="13"/>
      <c r="AD11" s="13"/>
      <c r="AE11" s="10"/>
      <c r="AF11" s="10"/>
      <c r="AG11" s="1"/>
    </row>
    <row r="12" spans="2:33" s="79" customFormat="1" x14ac:dyDescent="0.2">
      <c r="B12" s="130" t="s">
        <v>110</v>
      </c>
      <c r="C12" s="164"/>
      <c r="D12" s="165"/>
      <c r="E12" s="165"/>
      <c r="F12" s="166"/>
      <c r="G12" s="75">
        <v>0</v>
      </c>
      <c r="H12" s="131">
        <f>G12</f>
        <v>0</v>
      </c>
      <c r="I12" s="132" t="s">
        <v>110</v>
      </c>
      <c r="J12" s="164"/>
      <c r="K12" s="165"/>
      <c r="L12" s="165"/>
      <c r="M12" s="166"/>
      <c r="N12" s="76">
        <v>0</v>
      </c>
      <c r="O12" s="131">
        <f>N12</f>
        <v>0</v>
      </c>
      <c r="P12" s="132" t="s">
        <v>110</v>
      </c>
      <c r="Q12" s="164"/>
      <c r="R12" s="165"/>
      <c r="S12" s="165"/>
      <c r="T12" s="166"/>
      <c r="U12" s="77">
        <v>0</v>
      </c>
      <c r="V12" s="131">
        <f>U12</f>
        <v>0</v>
      </c>
      <c r="W12" s="78"/>
      <c r="X12" s="10"/>
      <c r="Y12" s="10"/>
      <c r="Z12" s="10"/>
      <c r="AA12" s="67"/>
      <c r="AB12" s="13"/>
      <c r="AC12" s="13"/>
      <c r="AD12" s="13"/>
      <c r="AE12" s="10"/>
      <c r="AF12" s="10"/>
      <c r="AG12" s="1"/>
    </row>
    <row r="13" spans="2:33" s="79" customFormat="1" x14ac:dyDescent="0.2">
      <c r="B13" s="133">
        <v>2</v>
      </c>
      <c r="C13" s="167"/>
      <c r="D13" s="168"/>
      <c r="E13" s="168"/>
      <c r="F13" s="169"/>
      <c r="G13" s="80"/>
      <c r="H13" s="134">
        <v>0</v>
      </c>
      <c r="I13" s="133">
        <v>2</v>
      </c>
      <c r="J13" s="167"/>
      <c r="K13" s="168"/>
      <c r="L13" s="168"/>
      <c r="M13" s="169"/>
      <c r="N13" s="81"/>
      <c r="O13" s="134">
        <v>0</v>
      </c>
      <c r="P13" s="133">
        <v>2</v>
      </c>
      <c r="Q13" s="167"/>
      <c r="R13" s="168"/>
      <c r="S13" s="168"/>
      <c r="T13" s="169"/>
      <c r="U13" s="82"/>
      <c r="V13" s="134">
        <v>0</v>
      </c>
      <c r="W13" s="83">
        <f>AVERAGE(V13,O13,H13)</f>
        <v>0</v>
      </c>
      <c r="X13" s="10"/>
      <c r="Y13" s="10"/>
      <c r="Z13" s="10"/>
      <c r="AA13" s="67"/>
      <c r="AB13" s="13"/>
      <c r="AC13" s="13"/>
      <c r="AD13" s="13"/>
      <c r="AE13" s="10"/>
      <c r="AF13" s="10"/>
      <c r="AG13" s="1"/>
    </row>
    <row r="14" spans="2:33" s="79" customFormat="1" x14ac:dyDescent="0.2">
      <c r="B14" s="135">
        <v>2.8</v>
      </c>
      <c r="C14" s="167"/>
      <c r="D14" s="168"/>
      <c r="E14" s="168"/>
      <c r="F14" s="169"/>
      <c r="G14" s="80"/>
      <c r="H14" s="134">
        <f>100*G13/SUM(G$13:G$28)</f>
        <v>0</v>
      </c>
      <c r="I14" s="135">
        <v>2.8</v>
      </c>
      <c r="J14" s="167"/>
      <c r="K14" s="168"/>
      <c r="L14" s="168"/>
      <c r="M14" s="169"/>
      <c r="N14" s="81"/>
      <c r="O14" s="134">
        <f>100*N13/SUM(N$13:N$28)</f>
        <v>0</v>
      </c>
      <c r="P14" s="135">
        <v>2.8</v>
      </c>
      <c r="Q14" s="167"/>
      <c r="R14" s="168"/>
      <c r="S14" s="168"/>
      <c r="T14" s="169"/>
      <c r="U14" s="82"/>
      <c r="V14" s="134">
        <f>100*U13/SUM(U$13:U$28)</f>
        <v>0</v>
      </c>
      <c r="W14" s="83">
        <f t="shared" ref="W14:W25" si="0">AVERAGE(V14,O14,H14)</f>
        <v>0</v>
      </c>
      <c r="X14" s="10"/>
      <c r="Y14" s="10"/>
      <c r="Z14" s="10"/>
      <c r="AA14" s="67"/>
      <c r="AB14" s="13"/>
      <c r="AC14" s="13"/>
      <c r="AD14" s="13"/>
      <c r="AE14" s="10"/>
      <c r="AF14" s="10"/>
      <c r="AG14" s="1"/>
    </row>
    <row r="15" spans="2:33" s="79" customFormat="1" x14ac:dyDescent="0.2">
      <c r="B15" s="133">
        <v>4</v>
      </c>
      <c r="C15" s="167"/>
      <c r="D15" s="168"/>
      <c r="E15" s="168"/>
      <c r="F15" s="169"/>
      <c r="G15" s="80">
        <v>3</v>
      </c>
      <c r="H15" s="134">
        <f>100*G14/SUM(G$13:G$28)+H14</f>
        <v>0</v>
      </c>
      <c r="I15" s="133">
        <v>4</v>
      </c>
      <c r="J15" s="167"/>
      <c r="K15" s="168"/>
      <c r="L15" s="168"/>
      <c r="M15" s="169"/>
      <c r="N15" s="81"/>
      <c r="O15" s="134">
        <f>100*N14/SUM(N$13:N$28)+O14</f>
        <v>0</v>
      </c>
      <c r="P15" s="133">
        <v>4</v>
      </c>
      <c r="Q15" s="167"/>
      <c r="R15" s="168"/>
      <c r="S15" s="168"/>
      <c r="T15" s="169"/>
      <c r="U15" s="82">
        <v>1</v>
      </c>
      <c r="V15" s="134">
        <f>100*U14/SUM(U$13:U$28)+V14</f>
        <v>0</v>
      </c>
      <c r="W15" s="83">
        <f t="shared" si="0"/>
        <v>0</v>
      </c>
      <c r="X15" s="10"/>
      <c r="Y15" s="10"/>
      <c r="Z15" s="10"/>
      <c r="AA15" s="67"/>
      <c r="AB15" s="10"/>
      <c r="AC15" s="10"/>
      <c r="AD15" s="10"/>
      <c r="AE15" s="10"/>
      <c r="AF15" s="10"/>
      <c r="AG15" s="1"/>
    </row>
    <row r="16" spans="2:33" s="79" customFormat="1" ht="18" x14ac:dyDescent="0.25">
      <c r="B16" s="133">
        <v>5.6</v>
      </c>
      <c r="C16" s="167"/>
      <c r="D16" s="168"/>
      <c r="E16" s="168"/>
      <c r="F16" s="169"/>
      <c r="G16" s="80">
        <v>3</v>
      </c>
      <c r="H16" s="134">
        <f t="shared" ref="H16:H29" si="1">100*G15/SUM(G$13:G$28)+H15</f>
        <v>3</v>
      </c>
      <c r="I16" s="133">
        <v>5.6</v>
      </c>
      <c r="J16" s="167"/>
      <c r="K16" s="168"/>
      <c r="L16" s="168"/>
      <c r="M16" s="169"/>
      <c r="N16" s="81"/>
      <c r="O16" s="134">
        <f t="shared" ref="O16:O29" si="2">100*N15/SUM(N$13:N$28)+O15</f>
        <v>0</v>
      </c>
      <c r="P16" s="133">
        <v>5.6</v>
      </c>
      <c r="Q16" s="167"/>
      <c r="R16" s="168"/>
      <c r="S16" s="168"/>
      <c r="T16" s="169"/>
      <c r="U16" s="82">
        <v>2</v>
      </c>
      <c r="V16" s="134">
        <f t="shared" ref="V16:V29" si="3">100*U15/SUM(U$13:U$28)+V15</f>
        <v>1</v>
      </c>
      <c r="W16" s="83">
        <f t="shared" si="0"/>
        <v>1.3333333333333333</v>
      </c>
      <c r="X16" s="84" t="s">
        <v>45</v>
      </c>
      <c r="Y16" s="85"/>
      <c r="Z16" s="85"/>
      <c r="AA16" s="86"/>
      <c r="AB16" s="87"/>
      <c r="AC16" s="87"/>
      <c r="AD16" s="87"/>
      <c r="AE16" s="87"/>
      <c r="AF16" s="87"/>
      <c r="AG16" s="1"/>
    </row>
    <row r="17" spans="2:33" s="79" customFormat="1" x14ac:dyDescent="0.2">
      <c r="B17" s="133">
        <v>8</v>
      </c>
      <c r="C17" s="167"/>
      <c r="D17" s="168"/>
      <c r="E17" s="168"/>
      <c r="F17" s="169"/>
      <c r="G17" s="80">
        <v>6</v>
      </c>
      <c r="H17" s="134">
        <f t="shared" si="1"/>
        <v>6</v>
      </c>
      <c r="I17" s="133">
        <v>8</v>
      </c>
      <c r="J17" s="167"/>
      <c r="K17" s="168"/>
      <c r="L17" s="168"/>
      <c r="M17" s="169"/>
      <c r="N17" s="81">
        <v>1</v>
      </c>
      <c r="O17" s="134">
        <f t="shared" si="2"/>
        <v>0</v>
      </c>
      <c r="P17" s="133">
        <v>8</v>
      </c>
      <c r="Q17" s="167"/>
      <c r="R17" s="168"/>
      <c r="S17" s="168"/>
      <c r="T17" s="169"/>
      <c r="U17" s="82">
        <v>5</v>
      </c>
      <c r="V17" s="134">
        <f t="shared" si="3"/>
        <v>3</v>
      </c>
      <c r="W17" s="83">
        <f t="shared" si="0"/>
        <v>3</v>
      </c>
      <c r="X17" s="87" t="s">
        <v>111</v>
      </c>
      <c r="Y17" s="170" t="s">
        <v>48</v>
      </c>
      <c r="Z17" s="170"/>
      <c r="AA17" s="170"/>
      <c r="AB17" s="170"/>
      <c r="AC17" s="170"/>
      <c r="AD17" s="170"/>
      <c r="AE17" s="170"/>
      <c r="AF17" s="170"/>
      <c r="AG17" s="3"/>
    </row>
    <row r="18" spans="2:33" s="79" customFormat="1" x14ac:dyDescent="0.2">
      <c r="B18" s="133">
        <v>11</v>
      </c>
      <c r="C18" s="167"/>
      <c r="D18" s="168"/>
      <c r="E18" s="168"/>
      <c r="F18" s="169"/>
      <c r="G18" s="80">
        <v>3</v>
      </c>
      <c r="H18" s="134">
        <f t="shared" si="1"/>
        <v>12</v>
      </c>
      <c r="I18" s="133">
        <v>11</v>
      </c>
      <c r="J18" s="167"/>
      <c r="K18" s="168"/>
      <c r="L18" s="168"/>
      <c r="M18" s="169"/>
      <c r="N18" s="81">
        <v>5</v>
      </c>
      <c r="O18" s="134">
        <f t="shared" si="2"/>
        <v>1</v>
      </c>
      <c r="P18" s="133">
        <v>11</v>
      </c>
      <c r="Q18" s="167"/>
      <c r="R18" s="168"/>
      <c r="S18" s="168"/>
      <c r="T18" s="169"/>
      <c r="U18" s="82">
        <v>1</v>
      </c>
      <c r="V18" s="134">
        <f t="shared" si="3"/>
        <v>8</v>
      </c>
      <c r="W18" s="83">
        <f>AVERAGE(V18,O18,H18)</f>
        <v>7</v>
      </c>
      <c r="X18" s="88"/>
      <c r="Y18" s="142"/>
      <c r="Z18" s="143"/>
      <c r="AA18" s="143"/>
      <c r="AB18" s="143"/>
      <c r="AC18" s="143"/>
      <c r="AD18" s="143"/>
      <c r="AE18" s="143"/>
      <c r="AF18" s="144"/>
    </row>
    <row r="19" spans="2:33" s="79" customFormat="1" x14ac:dyDescent="0.2">
      <c r="B19" s="133">
        <v>16</v>
      </c>
      <c r="C19" s="167"/>
      <c r="D19" s="168"/>
      <c r="E19" s="168"/>
      <c r="F19" s="169"/>
      <c r="G19" s="80">
        <v>7</v>
      </c>
      <c r="H19" s="134">
        <f t="shared" si="1"/>
        <v>15</v>
      </c>
      <c r="I19" s="133">
        <v>16</v>
      </c>
      <c r="J19" s="167"/>
      <c r="K19" s="168"/>
      <c r="L19" s="168"/>
      <c r="M19" s="169"/>
      <c r="N19" s="81">
        <v>2</v>
      </c>
      <c r="O19" s="134">
        <f t="shared" si="2"/>
        <v>6</v>
      </c>
      <c r="P19" s="133">
        <v>16</v>
      </c>
      <c r="Q19" s="167"/>
      <c r="R19" s="168"/>
      <c r="S19" s="168"/>
      <c r="T19" s="169"/>
      <c r="U19" s="82">
        <v>6</v>
      </c>
      <c r="V19" s="134">
        <f t="shared" si="3"/>
        <v>9</v>
      </c>
      <c r="W19" s="83">
        <f t="shared" si="0"/>
        <v>10</v>
      </c>
      <c r="X19" s="88"/>
      <c r="Y19" s="142"/>
      <c r="Z19" s="143"/>
      <c r="AA19" s="143"/>
      <c r="AB19" s="143"/>
      <c r="AC19" s="143"/>
      <c r="AD19" s="143"/>
      <c r="AE19" s="143"/>
      <c r="AF19" s="144"/>
    </row>
    <row r="20" spans="2:33" s="79" customFormat="1" x14ac:dyDescent="0.2">
      <c r="B20" s="133">
        <v>22.5</v>
      </c>
      <c r="C20" s="167"/>
      <c r="D20" s="168"/>
      <c r="E20" s="168"/>
      <c r="F20" s="169"/>
      <c r="G20" s="80">
        <v>8</v>
      </c>
      <c r="H20" s="134">
        <f t="shared" si="1"/>
        <v>22</v>
      </c>
      <c r="I20" s="133">
        <v>22.5</v>
      </c>
      <c r="J20" s="167"/>
      <c r="K20" s="168"/>
      <c r="L20" s="168"/>
      <c r="M20" s="169"/>
      <c r="N20" s="81">
        <v>12</v>
      </c>
      <c r="O20" s="134">
        <f t="shared" si="2"/>
        <v>8</v>
      </c>
      <c r="P20" s="133">
        <v>22.5</v>
      </c>
      <c r="Q20" s="167"/>
      <c r="R20" s="168"/>
      <c r="S20" s="168"/>
      <c r="T20" s="169"/>
      <c r="U20" s="82">
        <v>6</v>
      </c>
      <c r="V20" s="134">
        <f t="shared" si="3"/>
        <v>15</v>
      </c>
      <c r="W20" s="83">
        <f t="shared" si="0"/>
        <v>15</v>
      </c>
      <c r="X20" s="78"/>
      <c r="Y20" s="142"/>
      <c r="Z20" s="143"/>
      <c r="AA20" s="143"/>
      <c r="AB20" s="143"/>
      <c r="AC20" s="143"/>
      <c r="AD20" s="143"/>
      <c r="AE20" s="143"/>
      <c r="AF20" s="144"/>
    </row>
    <row r="21" spans="2:33" s="79" customFormat="1" x14ac:dyDescent="0.2">
      <c r="B21" s="133">
        <v>32</v>
      </c>
      <c r="C21" s="167"/>
      <c r="D21" s="168"/>
      <c r="E21" s="168"/>
      <c r="F21" s="169"/>
      <c r="G21" s="80">
        <v>8</v>
      </c>
      <c r="H21" s="134">
        <f t="shared" si="1"/>
        <v>30</v>
      </c>
      <c r="I21" s="133">
        <v>32</v>
      </c>
      <c r="J21" s="167"/>
      <c r="K21" s="168"/>
      <c r="L21" s="168"/>
      <c r="M21" s="169"/>
      <c r="N21" s="81">
        <v>12</v>
      </c>
      <c r="O21" s="134">
        <f>100*N20/SUM(N$13:N$28)+O20</f>
        <v>20</v>
      </c>
      <c r="P21" s="133">
        <v>32</v>
      </c>
      <c r="Q21" s="167"/>
      <c r="R21" s="168"/>
      <c r="S21" s="168"/>
      <c r="T21" s="169"/>
      <c r="U21" s="82">
        <v>11</v>
      </c>
      <c r="V21" s="134">
        <f t="shared" si="3"/>
        <v>21</v>
      </c>
      <c r="W21" s="83">
        <f t="shared" si="0"/>
        <v>23.666666666666668</v>
      </c>
      <c r="X21" s="78"/>
      <c r="Y21" s="142"/>
      <c r="Z21" s="143"/>
      <c r="AA21" s="143"/>
      <c r="AB21" s="143"/>
      <c r="AC21" s="143"/>
      <c r="AD21" s="143"/>
      <c r="AE21" s="143"/>
      <c r="AF21" s="144"/>
    </row>
    <row r="22" spans="2:33" s="79" customFormat="1" x14ac:dyDescent="0.2">
      <c r="B22" s="133">
        <v>45</v>
      </c>
      <c r="C22" s="167"/>
      <c r="D22" s="168"/>
      <c r="E22" s="168"/>
      <c r="F22" s="169"/>
      <c r="G22" s="80">
        <v>6</v>
      </c>
      <c r="H22" s="134">
        <f t="shared" si="1"/>
        <v>38</v>
      </c>
      <c r="I22" s="133">
        <v>45</v>
      </c>
      <c r="J22" s="167"/>
      <c r="K22" s="168"/>
      <c r="L22" s="168"/>
      <c r="M22" s="169"/>
      <c r="N22" s="89">
        <v>26</v>
      </c>
      <c r="O22" s="134">
        <f t="shared" si="2"/>
        <v>32</v>
      </c>
      <c r="P22" s="133">
        <v>45</v>
      </c>
      <c r="Q22" s="167"/>
      <c r="R22" s="168"/>
      <c r="S22" s="168"/>
      <c r="T22" s="169"/>
      <c r="U22" s="82">
        <v>10</v>
      </c>
      <c r="V22" s="134">
        <f t="shared" si="3"/>
        <v>32</v>
      </c>
      <c r="W22" s="83">
        <f t="shared" si="0"/>
        <v>34</v>
      </c>
      <c r="X22" s="78"/>
      <c r="Y22" s="142"/>
      <c r="Z22" s="143"/>
      <c r="AA22" s="143"/>
      <c r="AB22" s="143"/>
      <c r="AC22" s="143"/>
      <c r="AD22" s="143"/>
      <c r="AE22" s="143"/>
      <c r="AF22" s="144"/>
    </row>
    <row r="23" spans="2:33" s="79" customFormat="1" x14ac:dyDescent="0.2">
      <c r="B23" s="136">
        <v>64</v>
      </c>
      <c r="C23" s="167"/>
      <c r="D23" s="168"/>
      <c r="E23" s="168"/>
      <c r="F23" s="169"/>
      <c r="G23" s="80">
        <v>12</v>
      </c>
      <c r="H23" s="134">
        <f t="shared" si="1"/>
        <v>44</v>
      </c>
      <c r="I23" s="136">
        <v>64</v>
      </c>
      <c r="J23" s="167"/>
      <c r="K23" s="168"/>
      <c r="L23" s="168"/>
      <c r="M23" s="169"/>
      <c r="N23" s="90">
        <v>10</v>
      </c>
      <c r="O23" s="134">
        <f t="shared" si="2"/>
        <v>58</v>
      </c>
      <c r="P23" s="136">
        <v>64</v>
      </c>
      <c r="Q23" s="167"/>
      <c r="R23" s="168"/>
      <c r="S23" s="168"/>
      <c r="T23" s="169"/>
      <c r="U23" s="91">
        <v>8</v>
      </c>
      <c r="V23" s="134">
        <f t="shared" si="3"/>
        <v>42</v>
      </c>
      <c r="W23" s="83">
        <f t="shared" si="0"/>
        <v>48</v>
      </c>
      <c r="X23" s="78"/>
      <c r="Y23" s="142"/>
      <c r="Z23" s="143"/>
      <c r="AA23" s="143"/>
      <c r="AB23" s="143"/>
      <c r="AC23" s="143"/>
      <c r="AD23" s="143"/>
      <c r="AE23" s="143"/>
      <c r="AF23" s="144"/>
    </row>
    <row r="24" spans="2:33" s="79" customFormat="1" x14ac:dyDescent="0.2">
      <c r="B24" s="133">
        <v>90</v>
      </c>
      <c r="C24" s="167"/>
      <c r="D24" s="168"/>
      <c r="E24" s="168"/>
      <c r="F24" s="169"/>
      <c r="G24" s="80">
        <v>14</v>
      </c>
      <c r="H24" s="134">
        <f t="shared" si="1"/>
        <v>56</v>
      </c>
      <c r="I24" s="133">
        <v>90</v>
      </c>
      <c r="J24" s="167"/>
      <c r="K24" s="168"/>
      <c r="L24" s="168"/>
      <c r="M24" s="169"/>
      <c r="N24" s="92">
        <v>9</v>
      </c>
      <c r="O24" s="134">
        <f t="shared" si="2"/>
        <v>68</v>
      </c>
      <c r="P24" s="133">
        <v>90</v>
      </c>
      <c r="Q24" s="167"/>
      <c r="R24" s="168"/>
      <c r="S24" s="168"/>
      <c r="T24" s="169"/>
      <c r="U24" s="91">
        <v>10</v>
      </c>
      <c r="V24" s="134">
        <f t="shared" si="3"/>
        <v>50</v>
      </c>
      <c r="W24" s="83">
        <f t="shared" si="0"/>
        <v>58</v>
      </c>
      <c r="X24" s="78"/>
      <c r="Y24" s="142"/>
      <c r="Z24" s="143"/>
      <c r="AA24" s="143"/>
      <c r="AB24" s="143"/>
      <c r="AC24" s="143"/>
      <c r="AD24" s="143"/>
      <c r="AE24" s="143"/>
      <c r="AF24" s="144"/>
    </row>
    <row r="25" spans="2:33" s="79" customFormat="1" x14ac:dyDescent="0.2">
      <c r="B25" s="135">
        <v>128</v>
      </c>
      <c r="C25" s="167"/>
      <c r="D25" s="168"/>
      <c r="E25" s="168"/>
      <c r="F25" s="169"/>
      <c r="G25" s="80">
        <v>8</v>
      </c>
      <c r="H25" s="134">
        <f t="shared" si="1"/>
        <v>70</v>
      </c>
      <c r="I25" s="135">
        <v>128</v>
      </c>
      <c r="J25" s="167"/>
      <c r="K25" s="168"/>
      <c r="L25" s="168"/>
      <c r="M25" s="169"/>
      <c r="N25" s="92">
        <v>13</v>
      </c>
      <c r="O25" s="134">
        <f t="shared" si="2"/>
        <v>77</v>
      </c>
      <c r="P25" s="135">
        <v>128</v>
      </c>
      <c r="Q25" s="167"/>
      <c r="R25" s="168"/>
      <c r="S25" s="168"/>
      <c r="T25" s="169"/>
      <c r="U25" s="91">
        <v>13</v>
      </c>
      <c r="V25" s="134">
        <f t="shared" si="3"/>
        <v>60</v>
      </c>
      <c r="W25" s="83">
        <f t="shared" si="0"/>
        <v>69</v>
      </c>
      <c r="X25" s="78"/>
      <c r="Y25" s="142"/>
      <c r="Z25" s="143"/>
      <c r="AA25" s="143"/>
      <c r="AB25" s="143"/>
      <c r="AC25" s="143"/>
      <c r="AD25" s="143"/>
      <c r="AE25" s="143"/>
      <c r="AF25" s="144"/>
    </row>
    <row r="26" spans="2:33" s="79" customFormat="1" x14ac:dyDescent="0.2">
      <c r="B26" s="135">
        <v>180</v>
      </c>
      <c r="C26" s="167"/>
      <c r="D26" s="168"/>
      <c r="E26" s="168"/>
      <c r="F26" s="169"/>
      <c r="G26" s="80">
        <v>6</v>
      </c>
      <c r="H26" s="134">
        <f t="shared" si="1"/>
        <v>78</v>
      </c>
      <c r="I26" s="135">
        <v>180</v>
      </c>
      <c r="J26" s="167"/>
      <c r="K26" s="168"/>
      <c r="L26" s="168"/>
      <c r="M26" s="169"/>
      <c r="N26" s="81">
        <v>5</v>
      </c>
      <c r="O26" s="134">
        <f t="shared" si="2"/>
        <v>90</v>
      </c>
      <c r="P26" s="135">
        <v>180</v>
      </c>
      <c r="Q26" s="167"/>
      <c r="R26" s="168"/>
      <c r="S26" s="168"/>
      <c r="T26" s="169"/>
      <c r="U26" s="91">
        <v>7</v>
      </c>
      <c r="V26" s="134">
        <f t="shared" si="3"/>
        <v>73</v>
      </c>
      <c r="W26" s="83">
        <f>AVERAGE(H26,V26,O26)</f>
        <v>80.333333333333329</v>
      </c>
      <c r="X26" s="78"/>
      <c r="Y26" s="142"/>
      <c r="Z26" s="143"/>
      <c r="AA26" s="143"/>
      <c r="AB26" s="143"/>
      <c r="AC26" s="143"/>
      <c r="AD26" s="143"/>
      <c r="AE26" s="143"/>
      <c r="AF26" s="144"/>
    </row>
    <row r="27" spans="2:33" s="79" customFormat="1" x14ac:dyDescent="0.2">
      <c r="B27" s="135">
        <v>256</v>
      </c>
      <c r="C27" s="167"/>
      <c r="D27" s="168"/>
      <c r="E27" s="168"/>
      <c r="F27" s="169"/>
      <c r="G27" s="80">
        <v>5</v>
      </c>
      <c r="H27" s="134">
        <f t="shared" si="1"/>
        <v>84</v>
      </c>
      <c r="I27" s="135">
        <v>256</v>
      </c>
      <c r="J27" s="167"/>
      <c r="K27" s="168"/>
      <c r="L27" s="168"/>
      <c r="M27" s="169"/>
      <c r="N27" s="81">
        <v>4</v>
      </c>
      <c r="O27" s="134">
        <f t="shared" si="2"/>
        <v>95</v>
      </c>
      <c r="P27" s="135">
        <v>256</v>
      </c>
      <c r="Q27" s="167"/>
      <c r="R27" s="168"/>
      <c r="S27" s="168"/>
      <c r="T27" s="169"/>
      <c r="U27" s="91">
        <v>10</v>
      </c>
      <c r="V27" s="134">
        <f t="shared" si="3"/>
        <v>80</v>
      </c>
      <c r="W27" s="83">
        <f>AVERAGE(H27,V27,O27)</f>
        <v>86.333333333333329</v>
      </c>
      <c r="X27" s="78"/>
      <c r="Y27" s="142"/>
      <c r="Z27" s="143"/>
      <c r="AA27" s="143"/>
      <c r="AB27" s="143"/>
      <c r="AC27" s="143"/>
      <c r="AD27" s="143"/>
      <c r="AE27" s="143"/>
      <c r="AF27" s="144"/>
    </row>
    <row r="28" spans="2:33" s="79" customFormat="1" ht="18" thickBot="1" x14ac:dyDescent="0.3">
      <c r="B28" s="137">
        <v>360</v>
      </c>
      <c r="C28" s="173"/>
      <c r="D28" s="174"/>
      <c r="E28" s="174"/>
      <c r="F28" s="175"/>
      <c r="G28" s="93">
        <v>11</v>
      </c>
      <c r="H28" s="134">
        <f t="shared" si="1"/>
        <v>89</v>
      </c>
      <c r="I28" s="137">
        <v>360</v>
      </c>
      <c r="J28" s="173"/>
      <c r="K28" s="174"/>
      <c r="L28" s="174"/>
      <c r="M28" s="175"/>
      <c r="N28" s="94">
        <v>1</v>
      </c>
      <c r="O28" s="134">
        <f t="shared" si="2"/>
        <v>99</v>
      </c>
      <c r="P28" s="137">
        <v>360</v>
      </c>
      <c r="Q28" s="173"/>
      <c r="R28" s="174"/>
      <c r="S28" s="174"/>
      <c r="T28" s="175"/>
      <c r="U28" s="95">
        <v>10</v>
      </c>
      <c r="V28" s="134">
        <f t="shared" si="3"/>
        <v>90</v>
      </c>
      <c r="W28" s="96">
        <f>AVERAGE(V28,O28,H28)</f>
        <v>92.666666666666671</v>
      </c>
      <c r="X28" s="78"/>
      <c r="Y28" s="142"/>
      <c r="Z28" s="143"/>
      <c r="AA28" s="143"/>
      <c r="AB28" s="143"/>
      <c r="AC28" s="143"/>
      <c r="AD28" s="143"/>
      <c r="AE28" s="143"/>
      <c r="AF28" s="144"/>
      <c r="AG28" s="97"/>
    </row>
    <row r="29" spans="2:33" s="79" customFormat="1" x14ac:dyDescent="0.2">
      <c r="B29" s="79">
        <v>520</v>
      </c>
      <c r="H29" s="134">
        <f t="shared" si="1"/>
        <v>100</v>
      </c>
      <c r="I29" s="79">
        <v>520</v>
      </c>
      <c r="O29" s="134">
        <f t="shared" si="2"/>
        <v>100</v>
      </c>
      <c r="P29" s="79">
        <v>520</v>
      </c>
      <c r="V29" s="134">
        <f t="shared" si="3"/>
        <v>100</v>
      </c>
      <c r="W29" s="96">
        <f>AVERAGE(V29,O29,H29)</f>
        <v>100</v>
      </c>
      <c r="X29" s="78"/>
      <c r="Y29" s="142"/>
      <c r="Z29" s="143"/>
      <c r="AA29" s="143"/>
      <c r="AB29" s="143"/>
      <c r="AC29" s="143"/>
      <c r="AD29" s="143"/>
      <c r="AE29" s="143"/>
      <c r="AF29" s="144"/>
    </row>
    <row r="30" spans="2:33" s="79" customFormat="1" ht="15" thickBot="1" x14ac:dyDescent="0.25">
      <c r="C30" s="179" t="s">
        <v>112</v>
      </c>
      <c r="D30" s="179"/>
      <c r="E30" s="179"/>
      <c r="F30" s="179"/>
      <c r="G30" s="179"/>
      <c r="H30" s="179"/>
      <c r="I30" s="112"/>
      <c r="J30" s="179" t="s">
        <v>113</v>
      </c>
      <c r="K30" s="179"/>
      <c r="L30" s="179"/>
      <c r="M30" s="179"/>
      <c r="N30" s="179"/>
      <c r="O30" s="179"/>
      <c r="P30" s="112"/>
      <c r="Q30" s="179" t="s">
        <v>114</v>
      </c>
      <c r="R30" s="179"/>
      <c r="S30" s="179"/>
      <c r="T30" s="179"/>
      <c r="U30" s="179"/>
      <c r="V30" s="179"/>
      <c r="X30" s="78"/>
      <c r="Y30" s="142"/>
      <c r="Z30" s="143"/>
      <c r="AA30" s="143"/>
      <c r="AB30" s="143"/>
      <c r="AC30" s="143"/>
      <c r="AD30" s="143"/>
      <c r="AE30" s="143"/>
      <c r="AF30" s="144"/>
    </row>
    <row r="31" spans="2:33" s="79" customFormat="1" x14ac:dyDescent="0.2">
      <c r="C31" s="100"/>
      <c r="D31" s="101"/>
      <c r="E31" s="101"/>
      <c r="F31" s="101"/>
      <c r="G31" s="180"/>
      <c r="H31" s="181"/>
      <c r="I31" s="85"/>
      <c r="J31" s="100"/>
      <c r="K31" s="101"/>
      <c r="L31" s="101"/>
      <c r="M31" s="101"/>
      <c r="N31" s="180"/>
      <c r="O31" s="181"/>
      <c r="Q31" s="100"/>
      <c r="R31" s="101"/>
      <c r="S31" s="101"/>
      <c r="T31" s="101"/>
      <c r="U31" s="180"/>
      <c r="V31" s="181"/>
    </row>
    <row r="32" spans="2:33" s="79" customFormat="1" x14ac:dyDescent="0.2">
      <c r="C32" s="102"/>
      <c r="D32" s="103"/>
      <c r="E32" s="103"/>
      <c r="F32" s="103"/>
      <c r="G32" s="171"/>
      <c r="H32" s="172"/>
      <c r="I32" s="85"/>
      <c r="J32" s="102"/>
      <c r="K32" s="103"/>
      <c r="L32" s="103"/>
      <c r="M32" s="103"/>
      <c r="N32" s="171"/>
      <c r="O32" s="172"/>
      <c r="Q32" s="102"/>
      <c r="R32" s="103"/>
      <c r="S32" s="103"/>
      <c r="T32" s="103"/>
      <c r="U32" s="171"/>
      <c r="V32" s="172"/>
      <c r="X32" s="1"/>
      <c r="AA32" s="1"/>
      <c r="AC32" s="1"/>
      <c r="AD32" s="98"/>
      <c r="AF32" s="24"/>
    </row>
    <row r="33" spans="2:32" s="79" customFormat="1" ht="18" x14ac:dyDescent="0.2">
      <c r="C33" s="102"/>
      <c r="D33" s="103"/>
      <c r="E33" s="103"/>
      <c r="F33" s="103"/>
      <c r="G33" s="171"/>
      <c r="H33" s="172"/>
      <c r="I33" s="85"/>
      <c r="J33" s="102"/>
      <c r="K33" s="103"/>
      <c r="L33" s="103"/>
      <c r="M33" s="103"/>
      <c r="N33" s="171"/>
      <c r="O33" s="172"/>
      <c r="Q33" s="102"/>
      <c r="R33" s="103"/>
      <c r="S33" s="103"/>
      <c r="T33" s="103"/>
      <c r="U33" s="171"/>
      <c r="V33" s="172"/>
      <c r="Y33" s="104"/>
      <c r="Z33" s="178"/>
      <c r="AA33" s="178"/>
      <c r="AB33" s="178"/>
      <c r="AC33" s="99"/>
      <c r="AE33" s="36"/>
      <c r="AF33" s="105"/>
    </row>
    <row r="34" spans="2:32" s="79" customFormat="1" ht="18.75" thickBot="1" x14ac:dyDescent="0.25">
      <c r="C34" s="106"/>
      <c r="D34" s="107"/>
      <c r="E34" s="107"/>
      <c r="F34" s="107"/>
      <c r="G34" s="176"/>
      <c r="H34" s="177"/>
      <c r="I34" s="85"/>
      <c r="J34" s="106"/>
      <c r="K34" s="107"/>
      <c r="L34" s="107"/>
      <c r="M34" s="107"/>
      <c r="N34" s="108"/>
      <c r="O34" s="109"/>
      <c r="Q34" s="106"/>
      <c r="R34" s="107"/>
      <c r="S34" s="107"/>
      <c r="T34" s="107"/>
      <c r="U34" s="176"/>
      <c r="V34" s="177"/>
      <c r="Y34" s="104"/>
      <c r="Z34" s="178"/>
      <c r="AA34" s="178"/>
      <c r="AB34" s="178"/>
      <c r="AC34" s="99"/>
      <c r="AE34" s="36"/>
      <c r="AF34" s="105"/>
    </row>
    <row r="35" spans="2:32" s="79" customFormat="1" x14ac:dyDescent="0.2">
      <c r="B35" s="1" t="s">
        <v>115</v>
      </c>
      <c r="C35" s="79" t="s">
        <v>84</v>
      </c>
      <c r="G35" s="1"/>
      <c r="H35" s="98"/>
      <c r="K35" s="1" t="s">
        <v>116</v>
      </c>
      <c r="L35" s="1"/>
      <c r="M35" s="1">
        <v>190</v>
      </c>
      <c r="N35" s="1"/>
      <c r="R35" s="24"/>
      <c r="S35" s="24"/>
      <c r="T35" s="24"/>
      <c r="V35" s="24" t="s">
        <v>123</v>
      </c>
      <c r="X35" s="1" t="s">
        <v>115</v>
      </c>
      <c r="Y35" s="1"/>
      <c r="Z35" s="1"/>
      <c r="AA35" s="1" t="s">
        <v>116</v>
      </c>
      <c r="AB35" s="1"/>
      <c r="AD35" s="1"/>
      <c r="AE35" s="1"/>
      <c r="AF35" s="24" t="s">
        <v>117</v>
      </c>
    </row>
    <row r="36" spans="2:32" s="79" customFormat="1" x14ac:dyDescent="0.2">
      <c r="G36" s="85"/>
      <c r="H36" s="110"/>
      <c r="I36" s="85"/>
      <c r="J36" s="85"/>
      <c r="K36" s="85"/>
      <c r="L36" s="85"/>
      <c r="M36" s="85"/>
      <c r="N36" s="86"/>
      <c r="O36" s="87"/>
      <c r="P36" s="87"/>
      <c r="Q36" s="87"/>
      <c r="R36" s="87"/>
      <c r="S36" s="87"/>
      <c r="T36" s="87"/>
      <c r="Z36" s="99"/>
      <c r="AA36" s="111"/>
      <c r="AB36" s="99"/>
      <c r="AD36" s="87"/>
      <c r="AE36" s="87"/>
    </row>
    <row r="37" spans="2:32" s="79" customFormat="1" x14ac:dyDescent="0.2">
      <c r="H37" s="98"/>
      <c r="Y37" s="87"/>
      <c r="Z37" s="85"/>
      <c r="AA37" s="85"/>
      <c r="AB37" s="86"/>
      <c r="AC37" s="87"/>
      <c r="AD37" s="87"/>
      <c r="AE37" s="87"/>
    </row>
    <row r="38" spans="2:32" s="79" customFormat="1" x14ac:dyDescent="0.2">
      <c r="E38" s="138"/>
      <c r="F38" s="138"/>
      <c r="G38" s="138"/>
      <c r="H38" s="139"/>
      <c r="I38" s="138"/>
      <c r="J38" s="138"/>
      <c r="K38" s="138"/>
      <c r="L38" s="138"/>
      <c r="M38" s="138"/>
      <c r="N38" s="138"/>
      <c r="O38" s="138"/>
      <c r="P38" s="138"/>
      <c r="Q38" s="138"/>
      <c r="R38" s="138"/>
      <c r="S38" s="138"/>
      <c r="T38" s="138"/>
      <c r="U38" s="138"/>
      <c r="V38" s="138"/>
      <c r="W38" s="138" t="s">
        <v>124</v>
      </c>
      <c r="Y38" s="85"/>
      <c r="Z38" s="85"/>
      <c r="AA38" s="85"/>
      <c r="AB38" s="86"/>
      <c r="AC38" s="87"/>
      <c r="AE38" s="87"/>
    </row>
    <row r="39" spans="2:32" s="79" customFormat="1" ht="15" x14ac:dyDescent="0.25">
      <c r="E39" s="127" t="s">
        <v>118</v>
      </c>
      <c r="F39" s="127" t="s">
        <v>103</v>
      </c>
      <c r="G39" s="138"/>
      <c r="H39" s="138"/>
      <c r="I39" s="138"/>
      <c r="J39" s="138"/>
      <c r="K39" s="138"/>
      <c r="L39" s="127" t="s">
        <v>118</v>
      </c>
      <c r="M39" s="127" t="s">
        <v>103</v>
      </c>
      <c r="N39" s="138"/>
      <c r="O39" s="138"/>
      <c r="P39" s="138"/>
      <c r="Q39" s="138"/>
      <c r="R39" s="138"/>
      <c r="S39" s="127" t="s">
        <v>118</v>
      </c>
      <c r="T39" s="127" t="s">
        <v>103</v>
      </c>
      <c r="U39" s="138"/>
      <c r="V39" s="138"/>
      <c r="W39" s="127" t="s">
        <v>103</v>
      </c>
      <c r="Y39" s="85"/>
      <c r="Z39" s="85"/>
      <c r="AA39" s="85"/>
      <c r="AB39" s="86"/>
      <c r="AC39" s="87"/>
      <c r="AE39" s="87"/>
    </row>
    <row r="40" spans="2:32" s="79" customFormat="1" ht="15" x14ac:dyDescent="0.25">
      <c r="E40" s="127">
        <v>16</v>
      </c>
      <c r="F40" s="128">
        <f t="shared" ref="F40:F42" ca="1" si="4">10^(FORECAST(E40,LOG(OFFSET(B$13:B$29,MATCH(E40,H$13:H$29,1)-1,0,2)),OFFSET(H$13:H$29,MATCH(E40,H$13:H$29,1)-1,0,2)))</f>
        <v>16.798549113337536</v>
      </c>
      <c r="G40" s="138"/>
      <c r="H40" s="138"/>
      <c r="I40" s="138"/>
      <c r="J40" s="138"/>
      <c r="K40" s="138"/>
      <c r="L40" s="127">
        <v>16</v>
      </c>
      <c r="M40" s="128">
        <f t="shared" ref="M40:M42" ca="1" si="5">10^(FORECAST(L40,LOG(OFFSET(I$13:I$29,MATCH(L40,O$13:O$29,1)-1,0,2)),OFFSET(O$13:O$29,MATCH(L40,O$13:O$29,1)-1,0,2)))</f>
        <v>28.455146435920526</v>
      </c>
      <c r="N40" s="138"/>
      <c r="O40" s="138"/>
      <c r="P40" s="138"/>
      <c r="Q40" s="138"/>
      <c r="R40" s="138"/>
      <c r="S40" s="127">
        <v>16</v>
      </c>
      <c r="T40" s="128">
        <f t="shared" ref="T40:T42" ca="1" si="6">10^(FORECAST(S40,LOG(OFFSET(P$13:P$29,MATCH(S40,V$13:V$29,1)-1,0,2)),OFFSET(V$13:V$29,MATCH(S40,V$13:V$29,1)-1,0,2)))</f>
        <v>23.860365652660917</v>
      </c>
      <c r="U40" s="138"/>
      <c r="V40" s="140"/>
      <c r="W40" s="128">
        <f ca="1">10^(FORECAST(S40,LOG(OFFSET(P$13:P$29,MATCH(S40,W$13:W$29,1)-1,0,2)),OFFSET(W$13:W$29,MATCH(S40,W$13:W$29,1)-1,0,2)))</f>
        <v>23.433254522097545</v>
      </c>
    </row>
    <row r="41" spans="2:32" s="79" customFormat="1" ht="15" x14ac:dyDescent="0.25">
      <c r="E41" s="127">
        <v>50</v>
      </c>
      <c r="F41" s="128">
        <f t="shared" ca="1" si="4"/>
        <v>75.894663844041119</v>
      </c>
      <c r="G41" s="138"/>
      <c r="H41" s="138"/>
      <c r="I41" s="138"/>
      <c r="J41" s="138"/>
      <c r="K41" s="138"/>
      <c r="L41" s="127">
        <v>50</v>
      </c>
      <c r="M41" s="128">
        <f t="shared" ca="1" si="5"/>
        <v>57.426594572333315</v>
      </c>
      <c r="N41" s="138"/>
      <c r="O41" s="138"/>
      <c r="P41" s="138"/>
      <c r="Q41" s="138"/>
      <c r="R41" s="138"/>
      <c r="S41" s="127">
        <v>50</v>
      </c>
      <c r="T41" s="128">
        <f t="shared" ca="1" si="6"/>
        <v>90.000000000000071</v>
      </c>
      <c r="U41" s="138"/>
      <c r="V41" s="140"/>
      <c r="W41" s="128">
        <f t="shared" ref="W41:W43" ca="1" si="7">10^(FORECAST(S41,LOG(OFFSET(P$13:P$29,MATCH(S41,W$13:W$29,1)-1,0,2)),OFFSET(W$13:W$29,MATCH(S41,W$13:W$29,1)-1,0,2)))</f>
        <v>68.516075786826349</v>
      </c>
    </row>
    <row r="42" spans="2:32" s="79" customFormat="1" ht="15" x14ac:dyDescent="0.25">
      <c r="E42" s="127">
        <v>84</v>
      </c>
      <c r="F42" s="128">
        <f t="shared" ca="1" si="4"/>
        <v>256.00000000000017</v>
      </c>
      <c r="G42" s="138"/>
      <c r="H42" s="138"/>
      <c r="I42" s="138"/>
      <c r="J42" s="138"/>
      <c r="K42" s="138"/>
      <c r="L42" s="127">
        <v>84</v>
      </c>
      <c r="M42" s="128">
        <f t="shared" ca="1" si="5"/>
        <v>153.79278100823984</v>
      </c>
      <c r="N42" s="138"/>
      <c r="O42" s="138"/>
      <c r="P42" s="138"/>
      <c r="Q42" s="138"/>
      <c r="R42" s="138"/>
      <c r="S42" s="127">
        <v>84</v>
      </c>
      <c r="T42" s="128">
        <f t="shared" ca="1" si="6"/>
        <v>293.4032900766336</v>
      </c>
      <c r="U42" s="138"/>
      <c r="V42" s="140"/>
      <c r="W42" s="128">
        <f t="shared" ca="1" si="7"/>
        <v>223.23003105520974</v>
      </c>
    </row>
    <row r="43" spans="2:32" s="79" customFormat="1" ht="15" x14ac:dyDescent="0.25">
      <c r="E43" s="127">
        <v>90</v>
      </c>
      <c r="F43" s="128">
        <f ca="1">10^(FORECAST(E43,LOG(OFFSET(B$13:B$29,MATCH(E43,H$13:H$29,1)-1,0,2)),OFFSET(H$13:H$29,MATCH(E43,H$13:H$29,1)-1,0,2)))</f>
        <v>372.23804551423103</v>
      </c>
      <c r="G43" s="138"/>
      <c r="H43" s="138"/>
      <c r="I43" s="138"/>
      <c r="J43" s="138"/>
      <c r="K43" s="138"/>
      <c r="L43" s="127">
        <v>90</v>
      </c>
      <c r="M43" s="128">
        <f ca="1">10^(FORECAST(L43,LOG(OFFSET(I$13:I$29,MATCH(L43,O$13:O$29,1)-1,0,2)),OFFSET(O$13:O$29,MATCH(L43,O$13:O$29,1)-1,0,2)))</f>
        <v>180</v>
      </c>
      <c r="N43" s="138"/>
      <c r="O43" s="138"/>
      <c r="P43" s="138"/>
      <c r="Q43" s="138"/>
      <c r="R43" s="138"/>
      <c r="S43" s="127">
        <v>90</v>
      </c>
      <c r="T43" s="128">
        <f ca="1">10^(FORECAST(S43,LOG(OFFSET(P$13:P$29,MATCH(S43,V$13:V$29,1)-1,0,2)),OFFSET(V$13:V$29,MATCH(S43,V$13:V$29,1)-1,0,2)))</f>
        <v>360.00000000000006</v>
      </c>
      <c r="U43" s="138"/>
      <c r="V43" s="140"/>
      <c r="W43" s="128">
        <f t="shared" ca="1" si="7"/>
        <v>311.86050698317456</v>
      </c>
    </row>
    <row r="44" spans="2:32" s="79" customFormat="1" ht="15" x14ac:dyDescent="0.25">
      <c r="E44" s="129"/>
      <c r="F44" s="129"/>
      <c r="G44" s="138"/>
      <c r="H44" s="138"/>
      <c r="I44" s="138"/>
      <c r="J44" s="138"/>
      <c r="K44" s="138"/>
      <c r="L44" s="129"/>
      <c r="M44" s="129"/>
      <c r="N44" s="138"/>
      <c r="O44" s="138"/>
      <c r="P44" s="138"/>
      <c r="Q44" s="138"/>
      <c r="R44" s="138"/>
      <c r="S44" s="129"/>
      <c r="T44" s="129"/>
      <c r="U44" s="138"/>
      <c r="V44" s="138"/>
      <c r="W44" s="129"/>
    </row>
    <row r="45" spans="2:32" s="79" customFormat="1" ht="15" x14ac:dyDescent="0.25">
      <c r="E45" s="127" t="s">
        <v>119</v>
      </c>
      <c r="F45" s="128">
        <f ca="1">0.5*(F42/F41+F41/F40)</f>
        <v>3.9455129320890627</v>
      </c>
      <c r="G45" s="138"/>
      <c r="H45" s="138"/>
      <c r="I45" s="138"/>
      <c r="J45" s="138"/>
      <c r="K45" s="138"/>
      <c r="L45" s="127" t="s">
        <v>119</v>
      </c>
      <c r="M45" s="128">
        <f ca="1">0.5*(M42/M41+M41/M40)</f>
        <v>2.348110170465878</v>
      </c>
      <c r="N45" s="138"/>
      <c r="O45" s="138"/>
      <c r="P45" s="138"/>
      <c r="Q45" s="138"/>
      <c r="R45" s="138"/>
      <c r="S45" s="127" t="s">
        <v>119</v>
      </c>
      <c r="T45" s="128">
        <f ca="1">0.5*(T42/T41+T41/T40)</f>
        <v>3.5159910522620592</v>
      </c>
      <c r="U45" s="138"/>
      <c r="V45" s="138"/>
      <c r="W45" s="128">
        <f ca="1">0.5*(W42/W41+W41/W40)</f>
        <v>3.0909750784958643</v>
      </c>
    </row>
    <row r="46" spans="2:32" s="79" customFormat="1" ht="15" x14ac:dyDescent="0.25">
      <c r="E46" s="129"/>
      <c r="F46" s="128"/>
      <c r="G46" s="138"/>
      <c r="H46" s="138"/>
      <c r="I46" s="138"/>
      <c r="J46" s="138"/>
      <c r="K46" s="138"/>
      <c r="L46" s="129"/>
      <c r="M46" s="128"/>
      <c r="N46" s="138"/>
      <c r="O46" s="138"/>
      <c r="P46" s="138"/>
      <c r="Q46" s="138"/>
      <c r="R46" s="138"/>
      <c r="S46" s="129"/>
      <c r="T46" s="128"/>
      <c r="U46" s="138"/>
      <c r="V46" s="138"/>
      <c r="W46" s="128"/>
    </row>
    <row r="47" spans="2:32" s="79" customFormat="1" ht="15" x14ac:dyDescent="0.25">
      <c r="E47" s="129" t="s">
        <v>121</v>
      </c>
      <c r="F47" s="128">
        <f>H12</f>
        <v>0</v>
      </c>
      <c r="G47" s="138"/>
      <c r="H47" s="138"/>
      <c r="I47" s="138"/>
      <c r="J47" s="138"/>
      <c r="K47" s="138"/>
      <c r="L47" s="129" t="s">
        <v>121</v>
      </c>
      <c r="M47" s="128">
        <f>O12</f>
        <v>0</v>
      </c>
      <c r="N47" s="138"/>
      <c r="O47" s="138"/>
      <c r="P47" s="138"/>
      <c r="Q47" s="138"/>
      <c r="R47" s="138"/>
      <c r="S47" s="129" t="s">
        <v>121</v>
      </c>
      <c r="T47" s="128">
        <f>V12</f>
        <v>0</v>
      </c>
      <c r="U47" s="138"/>
      <c r="V47" s="138"/>
      <c r="W47" s="128">
        <f>AVERAGE(T47,M47,F47)</f>
        <v>0</v>
      </c>
    </row>
    <row r="48" spans="2:32" s="79" customFormat="1" x14ac:dyDescent="0.2">
      <c r="H48" s="98"/>
    </row>
    <row r="49" spans="8:8" s="79" customFormat="1" x14ac:dyDescent="0.2">
      <c r="H49" s="98"/>
    </row>
    <row r="50" spans="8:8" s="79" customFormat="1" x14ac:dyDescent="0.2">
      <c r="H50" s="98"/>
    </row>
    <row r="51" spans="8:8" s="79" customFormat="1" x14ac:dyDescent="0.2">
      <c r="H51" s="98"/>
    </row>
    <row r="52" spans="8:8" s="79" customFormat="1" x14ac:dyDescent="0.2">
      <c r="H52" s="98"/>
    </row>
    <row r="53" spans="8:8" s="79" customFormat="1" x14ac:dyDescent="0.2">
      <c r="H53" s="98"/>
    </row>
    <row r="54" spans="8:8" s="79" customFormat="1" x14ac:dyDescent="0.2">
      <c r="H54" s="98"/>
    </row>
    <row r="55" spans="8:8" s="79" customFormat="1" x14ac:dyDescent="0.2">
      <c r="H55" s="98"/>
    </row>
    <row r="56" spans="8:8" s="79" customFormat="1" x14ac:dyDescent="0.2">
      <c r="H56" s="98"/>
    </row>
    <row r="57" spans="8:8" s="79" customFormat="1" x14ac:dyDescent="0.2">
      <c r="H57" s="98"/>
    </row>
    <row r="58" spans="8:8" s="79" customFormat="1" x14ac:dyDescent="0.2">
      <c r="H58" s="98"/>
    </row>
    <row r="59" spans="8:8" s="79" customFormat="1" x14ac:dyDescent="0.2">
      <c r="H59" s="98"/>
    </row>
    <row r="60" spans="8:8" s="79" customFormat="1" x14ac:dyDescent="0.2">
      <c r="H60" s="98"/>
    </row>
    <row r="61" spans="8:8" s="79" customFormat="1" x14ac:dyDescent="0.2">
      <c r="H61" s="98"/>
    </row>
    <row r="62" spans="8:8" s="79" customFormat="1" x14ac:dyDescent="0.2">
      <c r="H62" s="98"/>
    </row>
    <row r="63" spans="8:8" s="79" customFormat="1" x14ac:dyDescent="0.2">
      <c r="H63" s="98"/>
    </row>
    <row r="64" spans="8:8" s="79" customFormat="1" x14ac:dyDescent="0.2">
      <c r="H64" s="98"/>
    </row>
    <row r="65" spans="8:8" s="79" customFormat="1" x14ac:dyDescent="0.2">
      <c r="H65" s="98"/>
    </row>
    <row r="66" spans="8:8" s="79" customFormat="1" x14ac:dyDescent="0.2">
      <c r="H66" s="98"/>
    </row>
    <row r="67" spans="8:8" s="79" customFormat="1" x14ac:dyDescent="0.2">
      <c r="H67" s="98"/>
    </row>
    <row r="68" spans="8:8" s="79" customFormat="1" x14ac:dyDescent="0.2">
      <c r="H68" s="98"/>
    </row>
    <row r="69" spans="8:8" s="79" customFormat="1" x14ac:dyDescent="0.2">
      <c r="H69" s="98"/>
    </row>
    <row r="70" spans="8:8" s="79" customFormat="1" x14ac:dyDescent="0.2">
      <c r="H70" s="98"/>
    </row>
    <row r="71" spans="8:8" s="79" customFormat="1" x14ac:dyDescent="0.2">
      <c r="H71" s="98"/>
    </row>
    <row r="72" spans="8:8" s="79" customFormat="1" x14ac:dyDescent="0.2">
      <c r="H72" s="98"/>
    </row>
    <row r="73" spans="8:8" s="79" customFormat="1" x14ac:dyDescent="0.2">
      <c r="H73" s="98"/>
    </row>
    <row r="74" spans="8:8" s="79" customFormat="1" x14ac:dyDescent="0.2">
      <c r="H74" s="98"/>
    </row>
    <row r="75" spans="8:8" s="79" customFormat="1" x14ac:dyDescent="0.2">
      <c r="H75" s="98"/>
    </row>
    <row r="76" spans="8:8" s="79" customFormat="1" x14ac:dyDescent="0.2">
      <c r="H76" s="98"/>
    </row>
    <row r="77" spans="8:8" s="79" customFormat="1" x14ac:dyDescent="0.2">
      <c r="H77" s="98"/>
    </row>
    <row r="78" spans="8:8" s="79" customFormat="1" x14ac:dyDescent="0.2">
      <c r="H78" s="98"/>
    </row>
    <row r="79" spans="8:8" s="79" customFormat="1" x14ac:dyDescent="0.2">
      <c r="H79" s="98"/>
    </row>
    <row r="80" spans="8:8" s="79" customFormat="1" x14ac:dyDescent="0.2">
      <c r="H80" s="98"/>
    </row>
    <row r="81" spans="8:8" s="79" customFormat="1" x14ac:dyDescent="0.2">
      <c r="H81" s="98"/>
    </row>
    <row r="82" spans="8:8" s="79" customFormat="1" x14ac:dyDescent="0.2">
      <c r="H82" s="98"/>
    </row>
    <row r="83" spans="8:8" s="79" customFormat="1" x14ac:dyDescent="0.2">
      <c r="H83" s="98"/>
    </row>
    <row r="84" spans="8:8" s="79" customFormat="1" x14ac:dyDescent="0.2">
      <c r="H84" s="98"/>
    </row>
    <row r="85" spans="8:8" s="79" customFormat="1" x14ac:dyDescent="0.2">
      <c r="H85" s="98"/>
    </row>
    <row r="86" spans="8:8" s="79" customFormat="1" x14ac:dyDescent="0.2">
      <c r="H86" s="98"/>
    </row>
    <row r="87" spans="8:8" s="79" customFormat="1" x14ac:dyDescent="0.2">
      <c r="H87" s="98"/>
    </row>
    <row r="88" spans="8:8" s="79" customFormat="1" x14ac:dyDescent="0.2">
      <c r="H88" s="98"/>
    </row>
    <row r="89" spans="8:8" s="79" customFormat="1" x14ac:dyDescent="0.2">
      <c r="H89" s="98"/>
    </row>
    <row r="90" spans="8:8" s="79" customFormat="1" x14ac:dyDescent="0.2">
      <c r="H90" s="98"/>
    </row>
    <row r="91" spans="8:8" s="79" customFormat="1" x14ac:dyDescent="0.2">
      <c r="H91" s="98"/>
    </row>
    <row r="92" spans="8:8" s="79" customFormat="1" x14ac:dyDescent="0.2">
      <c r="H92" s="98"/>
    </row>
    <row r="93" spans="8:8" s="79" customFormat="1" x14ac:dyDescent="0.2">
      <c r="H93" s="98"/>
    </row>
    <row r="94" spans="8:8" s="79" customFormat="1" x14ac:dyDescent="0.2">
      <c r="H94" s="98"/>
    </row>
    <row r="95" spans="8:8" s="79" customFormat="1" x14ac:dyDescent="0.2">
      <c r="H95" s="98"/>
    </row>
    <row r="96" spans="8:8" s="79" customFormat="1" x14ac:dyDescent="0.2">
      <c r="H96" s="98"/>
    </row>
    <row r="97" spans="8:33" s="79" customFormat="1" x14ac:dyDescent="0.2">
      <c r="H97" s="98"/>
    </row>
    <row r="98" spans="8:33" x14ac:dyDescent="0.2">
      <c r="X98" s="79"/>
      <c r="Y98" s="79"/>
      <c r="Z98" s="79"/>
      <c r="AA98" s="79"/>
      <c r="AB98" s="79"/>
      <c r="AC98" s="79"/>
      <c r="AD98" s="79"/>
      <c r="AE98" s="79"/>
      <c r="AF98" s="79"/>
      <c r="AG98" s="79"/>
    </row>
    <row r="99" spans="8:33" x14ac:dyDescent="0.2">
      <c r="X99" s="79"/>
      <c r="Y99" s="79"/>
      <c r="Z99" s="79"/>
      <c r="AA99" s="79"/>
      <c r="AB99" s="79"/>
      <c r="AC99" s="79"/>
      <c r="AD99" s="79"/>
      <c r="AE99" s="79"/>
      <c r="AF99" s="79"/>
      <c r="AG99" s="79"/>
    </row>
  </sheetData>
  <mergeCells count="87">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 ref="C25:F25"/>
    <mergeCell ref="J25:M25"/>
    <mergeCell ref="Q25:T25"/>
    <mergeCell ref="Y25:AF25"/>
    <mergeCell ref="U32:V32"/>
    <mergeCell ref="C27:F27"/>
    <mergeCell ref="J27:M27"/>
    <mergeCell ref="Q27:T27"/>
    <mergeCell ref="Y27:AF27"/>
    <mergeCell ref="Y29:AF29"/>
    <mergeCell ref="C28:F28"/>
    <mergeCell ref="J28:M28"/>
    <mergeCell ref="Q28:T28"/>
    <mergeCell ref="Y28:AF28"/>
    <mergeCell ref="C26:F26"/>
    <mergeCell ref="J26:M26"/>
    <mergeCell ref="Q26:T26"/>
    <mergeCell ref="Y26:AF26"/>
    <mergeCell ref="C22:F22"/>
    <mergeCell ref="J22:M22"/>
    <mergeCell ref="Q22:T22"/>
    <mergeCell ref="Y22:AF22"/>
    <mergeCell ref="C23:F23"/>
    <mergeCell ref="J23:M23"/>
    <mergeCell ref="Q23:T23"/>
    <mergeCell ref="Y23:AF23"/>
    <mergeCell ref="C24:F24"/>
    <mergeCell ref="J24:M24"/>
    <mergeCell ref="Q24:T24"/>
    <mergeCell ref="Y24:AF24"/>
    <mergeCell ref="C20:F20"/>
    <mergeCell ref="J20:M20"/>
    <mergeCell ref="Q20:T20"/>
    <mergeCell ref="Y20:AF20"/>
    <mergeCell ref="C21:F21"/>
    <mergeCell ref="J21:M21"/>
    <mergeCell ref="Q21:T21"/>
    <mergeCell ref="Y21:AF21"/>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14:F14"/>
    <mergeCell ref="J14:M14"/>
    <mergeCell ref="Q14:T14"/>
    <mergeCell ref="C15:F15"/>
    <mergeCell ref="J15:M15"/>
    <mergeCell ref="Q15:T15"/>
    <mergeCell ref="C12:F12"/>
    <mergeCell ref="J12:M12"/>
    <mergeCell ref="Q12:T12"/>
    <mergeCell ref="C13:F13"/>
    <mergeCell ref="J13:M13"/>
    <mergeCell ref="Q13:T13"/>
    <mergeCell ref="B2:V2"/>
    <mergeCell ref="X2:AE2"/>
    <mergeCell ref="C10:H10"/>
    <mergeCell ref="C11:F11"/>
    <mergeCell ref="J11:M11"/>
    <mergeCell ref="Q11:T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D13" sqref="D13"/>
    </sheetView>
  </sheetViews>
  <sheetFormatPr defaultRowHeight="15" x14ac:dyDescent="0.25"/>
  <sheetData>
    <row r="6" spans="3:8" x14ac:dyDescent="0.25">
      <c r="C6" s="129"/>
      <c r="D6" s="182" t="s">
        <v>125</v>
      </c>
      <c r="E6" s="182"/>
      <c r="F6" s="182"/>
      <c r="G6" s="182"/>
      <c r="H6" s="127" t="s">
        <v>126</v>
      </c>
    </row>
    <row r="7" spans="3:8" x14ac:dyDescent="0.25">
      <c r="C7" s="129"/>
      <c r="D7" s="127" t="s">
        <v>104</v>
      </c>
      <c r="E7" s="127" t="s">
        <v>107</v>
      </c>
      <c r="F7" s="127" t="s">
        <v>108</v>
      </c>
      <c r="G7" s="127" t="s">
        <v>127</v>
      </c>
      <c r="H7" s="127" t="s">
        <v>128</v>
      </c>
    </row>
    <row r="8" spans="3:8" x14ac:dyDescent="0.25">
      <c r="C8" s="129" t="s">
        <v>129</v>
      </c>
      <c r="D8" s="128">
        <f ca="1">Surface!F40</f>
        <v>16.798549113337536</v>
      </c>
      <c r="E8" s="128">
        <f ca="1">Surface!M40</f>
        <v>28.455146435920526</v>
      </c>
      <c r="F8" s="128">
        <f ca="1">Surface!T40</f>
        <v>23.860365652660917</v>
      </c>
      <c r="G8" s="128">
        <f ca="1">Surface!W40</f>
        <v>23.433254522097545</v>
      </c>
      <c r="H8" s="128">
        <f ca="1">SubS!AE30</f>
        <v>2.0835402084068195</v>
      </c>
    </row>
    <row r="9" spans="3:8" x14ac:dyDescent="0.25">
      <c r="C9" s="129" t="s">
        <v>130</v>
      </c>
      <c r="D9" s="128">
        <f ca="1">Surface!F41</f>
        <v>75.894663844041119</v>
      </c>
      <c r="E9" s="128">
        <f ca="1">Surface!M41</f>
        <v>57.426594572333315</v>
      </c>
      <c r="F9" s="128">
        <f ca="1">Surface!T41</f>
        <v>90.000000000000071</v>
      </c>
      <c r="G9" s="128">
        <f ca="1">Surface!W41</f>
        <v>68.516075786826349</v>
      </c>
      <c r="H9" s="128">
        <f ca="1">SubS!AE31</f>
        <v>22.701345081152066</v>
      </c>
    </row>
    <row r="10" spans="3:8" x14ac:dyDescent="0.25">
      <c r="C10" s="129" t="s">
        <v>131</v>
      </c>
      <c r="D10" s="128">
        <f ca="1">Surface!F42</f>
        <v>256.00000000000017</v>
      </c>
      <c r="E10" s="128">
        <f ca="1">Surface!M42</f>
        <v>153.79278100823984</v>
      </c>
      <c r="F10" s="128">
        <f ca="1">Surface!T42</f>
        <v>293.4032900766336</v>
      </c>
      <c r="G10" s="128">
        <f ca="1">Surface!W42</f>
        <v>223.23003105520974</v>
      </c>
      <c r="H10" s="128">
        <f ca="1">SubS!AE32</f>
        <v>80.19289060551435</v>
      </c>
    </row>
    <row r="11" spans="3:8" x14ac:dyDescent="0.25">
      <c r="C11" s="129" t="s">
        <v>132</v>
      </c>
      <c r="D11" s="128">
        <f ca="1">Surface!F43</f>
        <v>372.23804551423103</v>
      </c>
      <c r="E11" s="128">
        <f ca="1">Surface!M43</f>
        <v>180</v>
      </c>
      <c r="F11" s="128">
        <f ca="1">Surface!T43</f>
        <v>360.00000000000006</v>
      </c>
      <c r="G11" s="128">
        <f ca="1">Surface!W43</f>
        <v>311.86050698317456</v>
      </c>
      <c r="H11" s="128">
        <f ca="1">SubS!AE33</f>
        <v>115.91303447275082</v>
      </c>
    </row>
    <row r="12" spans="3:8" x14ac:dyDescent="0.25">
      <c r="C12" s="129"/>
      <c r="D12" s="128"/>
      <c r="E12" s="128"/>
      <c r="F12" s="128"/>
      <c r="G12" s="128"/>
      <c r="H12" s="128"/>
    </row>
    <row r="13" spans="3:8" x14ac:dyDescent="0.25">
      <c r="C13" s="129" t="s">
        <v>133</v>
      </c>
      <c r="D13" s="128">
        <f ca="1">Surface!F45</f>
        <v>3.9455129320890627</v>
      </c>
      <c r="E13" s="128">
        <f ca="1">Surface!M45</f>
        <v>2.348110170465878</v>
      </c>
      <c r="F13" s="128">
        <f ca="1">Surface!T45</f>
        <v>3.5159910522620592</v>
      </c>
      <c r="G13" s="128">
        <f ca="1">Surface!W45</f>
        <v>3.0909750784958643</v>
      </c>
      <c r="H13" s="128">
        <f ca="1">SubS!AE35</f>
        <v>7.2140404246626906</v>
      </c>
    </row>
    <row r="14" spans="3:8" x14ac:dyDescent="0.25">
      <c r="C14" s="129" t="s">
        <v>134</v>
      </c>
      <c r="D14" s="128">
        <f>Surface!F47</f>
        <v>0</v>
      </c>
      <c r="E14" s="128">
        <f>Surface!M47</f>
        <v>0</v>
      </c>
      <c r="F14" s="128">
        <f>Surface!T47</f>
        <v>0</v>
      </c>
      <c r="G14" s="128">
        <f>Surface!W47</f>
        <v>0</v>
      </c>
      <c r="H14" s="129"/>
    </row>
    <row r="15" spans="3:8" x14ac:dyDescent="0.25">
      <c r="C15" s="129"/>
      <c r="D15" s="129"/>
      <c r="E15" s="129"/>
      <c r="F15" s="129"/>
      <c r="G15" s="129"/>
      <c r="H15" s="129"/>
    </row>
    <row r="16" spans="3:8" x14ac:dyDescent="0.25">
      <c r="C16" s="129" t="s">
        <v>135</v>
      </c>
      <c r="D16" s="129"/>
      <c r="E16" s="129"/>
      <c r="F16" s="129"/>
      <c r="G16" s="129"/>
      <c r="H16" s="128">
        <f>SubS!AE36</f>
        <v>84.446701228260579</v>
      </c>
    </row>
    <row r="17" spans="3:8" x14ac:dyDescent="0.25">
      <c r="C17" s="129" t="s">
        <v>136</v>
      </c>
      <c r="D17" s="129"/>
      <c r="E17" s="129"/>
      <c r="F17" s="129"/>
      <c r="G17" s="129"/>
      <c r="H17" s="128">
        <f>SubS!AE37</f>
        <v>14.12407672244445</v>
      </c>
    </row>
    <row r="18" spans="3:8" x14ac:dyDescent="0.25">
      <c r="C18" s="129" t="s">
        <v>137</v>
      </c>
      <c r="D18" s="129"/>
      <c r="E18" s="129"/>
      <c r="F18" s="129"/>
      <c r="G18" s="129"/>
      <c r="H18" s="128">
        <f>SubS!AE38</f>
        <v>1.4292220492949741</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12" sqref="A12"/>
    </sheetView>
  </sheetViews>
  <sheetFormatPr defaultRowHeight="15" x14ac:dyDescent="0.25"/>
  <sheetData>
    <row r="1" spans="1:1" x14ac:dyDescent="0.25">
      <c r="A1" s="141" t="s">
        <v>138</v>
      </c>
    </row>
    <row r="2" spans="1:1" x14ac:dyDescent="0.25">
      <c r="A2" s="141"/>
    </row>
    <row r="3" spans="1:1" x14ac:dyDescent="0.25">
      <c r="A3" s="141" t="s">
        <v>141</v>
      </c>
    </row>
    <row r="4" spans="1:1" x14ac:dyDescent="0.25">
      <c r="A4" s="141"/>
    </row>
    <row r="5" spans="1:1" x14ac:dyDescent="0.25">
      <c r="A5" s="141" t="s">
        <v>142</v>
      </c>
    </row>
    <row r="6" spans="1:1" x14ac:dyDescent="0.25">
      <c r="A6" s="141"/>
    </row>
    <row r="7" spans="1:1" x14ac:dyDescent="0.25">
      <c r="A7" s="141" t="s">
        <v>139</v>
      </c>
    </row>
    <row r="8" spans="1:1" x14ac:dyDescent="0.25">
      <c r="A8" s="141"/>
    </row>
    <row r="9" spans="1:1" x14ac:dyDescent="0.25">
      <c r="A9" s="141"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2013-10-04T18:30:19Z</dcterms:created>
  <dcterms:modified xsi:type="dcterms:W3CDTF">2014-01-22T01:15:37Z</dcterms:modified>
</cp:coreProperties>
</file>