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H18" i="3" l="1"/>
  <c r="H17" i="3"/>
  <c r="H16" i="3"/>
  <c r="G14" i="3"/>
  <c r="E14" i="3"/>
  <c r="O15" i="2"/>
  <c r="W15" i="2" s="1"/>
  <c r="W13" i="2"/>
  <c r="O14" i="2"/>
  <c r="W14" i="2" s="1"/>
  <c r="O12" i="2"/>
  <c r="M46" i="2" s="1"/>
  <c r="H40" i="1"/>
  <c r="H39" i="1"/>
  <c r="H38" i="1"/>
  <c r="H37" i="1"/>
  <c r="AE15" i="1" s="1"/>
  <c r="H36" i="1"/>
  <c r="H35" i="1"/>
  <c r="I34" i="1"/>
  <c r="I35" i="1" s="1"/>
  <c r="I36" i="1" s="1"/>
  <c r="I37" i="1" s="1"/>
  <c r="I38" i="1" s="1"/>
  <c r="I39" i="1" s="1"/>
  <c r="I40" i="1" s="1"/>
  <c r="H34" i="1"/>
  <c r="H33" i="1"/>
  <c r="I33" i="1" s="1"/>
  <c r="E19" i="1"/>
  <c r="E18" i="1"/>
  <c r="E17" i="1"/>
  <c r="E16" i="1"/>
  <c r="E15" i="1"/>
  <c r="E14" i="1"/>
  <c r="AF4" i="1"/>
  <c r="AE26" i="1"/>
  <c r="AE17" i="1"/>
  <c r="AE16" i="1"/>
  <c r="AE14" i="1"/>
  <c r="AE13" i="1"/>
  <c r="AE12" i="1"/>
  <c r="AE10" i="1"/>
  <c r="AE9" i="1"/>
  <c r="AE8" i="1"/>
  <c r="O16" i="2" l="1"/>
  <c r="W16" i="2" s="1"/>
  <c r="W12" i="2"/>
  <c r="W46" i="2" s="1"/>
  <c r="O17" i="2"/>
  <c r="O18" i="2" s="1"/>
  <c r="O19" i="2" s="1"/>
  <c r="O20" i="2" s="1"/>
  <c r="AE11" i="1"/>
  <c r="AE27" i="1" s="1"/>
  <c r="O21" i="2" l="1"/>
  <c r="O22" i="2" s="1"/>
  <c r="O23" i="2" s="1"/>
  <c r="O24" i="2" s="1"/>
  <c r="O25" i="2" s="1"/>
  <c r="O26" i="2" s="1"/>
  <c r="O27" i="2" s="1"/>
  <c r="O28" i="2" s="1"/>
  <c r="M43" i="2" l="1"/>
  <c r="E11" i="3" s="1"/>
  <c r="M40" i="2"/>
  <c r="E8" i="3" s="1"/>
  <c r="M41" i="2"/>
  <c r="E9" i="3" s="1"/>
  <c r="M42" i="2"/>
  <c r="E10" i="3" s="1"/>
  <c r="W17" i="2"/>
  <c r="M45" i="2" l="1"/>
  <c r="E13" i="3" s="1"/>
  <c r="W18" i="2"/>
  <c r="W19" i="2" l="1"/>
  <c r="W20" i="2" l="1"/>
  <c r="W21" i="2" l="1"/>
  <c r="W22" i="2" l="1"/>
  <c r="W23" i="2" l="1"/>
  <c r="W24" i="2" l="1"/>
  <c r="W25" i="2" l="1"/>
  <c r="W26" i="2" l="1"/>
  <c r="W27" i="2" l="1"/>
  <c r="H42" i="1"/>
  <c r="H41" i="1"/>
  <c r="E24" i="1"/>
  <c r="D24" i="1"/>
  <c r="C24" i="1"/>
  <c r="AF17" i="1"/>
  <c r="AF16" i="1"/>
  <c r="AF15" i="1"/>
  <c r="AF14" i="1"/>
  <c r="AF13" i="1"/>
  <c r="AF12" i="1"/>
  <c r="AF11" i="1"/>
  <c r="AF10" i="1"/>
  <c r="AF9" i="1"/>
  <c r="AF8" i="1"/>
  <c r="AF26" i="1"/>
  <c r="AH3" i="1"/>
  <c r="AF2" i="1"/>
  <c r="W28" i="2" l="1"/>
  <c r="H45" i="1"/>
  <c r="AG8" i="1"/>
  <c r="AF27" i="1"/>
  <c r="W43" i="2" l="1"/>
  <c r="G11" i="3" s="1"/>
  <c r="W42" i="2"/>
  <c r="G10" i="3" s="1"/>
  <c r="W41" i="2"/>
  <c r="G9" i="3" s="1"/>
  <c r="W40" i="2"/>
  <c r="G8" i="3" s="1"/>
  <c r="AG9" i="1"/>
  <c r="AH8" i="1"/>
  <c r="AK8" i="1" s="1"/>
  <c r="W45" i="2" l="1"/>
  <c r="G13" i="3" s="1"/>
  <c r="AH9" i="1"/>
  <c r="AK9" i="1" s="1"/>
  <c r="AG10" i="1"/>
  <c r="AH10" i="1" l="1"/>
  <c r="AK10" i="1" s="1"/>
  <c r="AG11" i="1"/>
  <c r="AH11" i="1" l="1"/>
  <c r="AK11" i="1" s="1"/>
  <c r="AG12" i="1"/>
  <c r="AG13" i="1" l="1"/>
  <c r="AH12" i="1"/>
  <c r="AK12" i="1" s="1"/>
  <c r="AE33" i="1" l="1"/>
  <c r="H11" i="3" s="1"/>
  <c r="AE32" i="1"/>
  <c r="H10" i="3" s="1"/>
  <c r="AH13" i="1"/>
  <c r="AK13" i="1" s="1"/>
  <c r="AG14" i="1"/>
  <c r="AH14" i="1" l="1"/>
  <c r="AK14" i="1" s="1"/>
  <c r="AG15" i="1"/>
  <c r="AH15" i="1" l="1"/>
  <c r="AK15" i="1" s="1"/>
  <c r="AG16" i="1"/>
  <c r="AG17" i="1" l="1"/>
  <c r="AH17" i="1" s="1"/>
  <c r="AK17" i="1" s="1"/>
  <c r="AH16" i="1"/>
  <c r="AK16" i="1" s="1"/>
  <c r="AJ22" i="1" l="1"/>
  <c r="AK22" i="1" s="1"/>
  <c r="AJ24" i="1"/>
  <c r="AK24" i="1" s="1"/>
  <c r="AJ23" i="1"/>
  <c r="AK23" i="1" s="1"/>
  <c r="AJ21" i="1"/>
  <c r="AK21" i="1" s="1"/>
  <c r="AJ19" i="1"/>
  <c r="AK19" i="1" s="1"/>
  <c r="AJ17" i="1"/>
  <c r="AJ25" i="1"/>
  <c r="AK25" i="1" s="1"/>
  <c r="AJ20" i="1"/>
  <c r="AK20" i="1" s="1"/>
  <c r="AJ18" i="1"/>
  <c r="AK18" i="1" s="1"/>
  <c r="AE37" i="1" l="1"/>
  <c r="AE36" i="1"/>
  <c r="AE38" i="1"/>
  <c r="AE31" i="1"/>
  <c r="H9" i="3" s="1"/>
  <c r="AE30" i="1"/>
  <c r="H8" i="3" s="1"/>
  <c r="AE35" i="1" l="1"/>
  <c r="H13" i="3" s="1"/>
</calcChain>
</file>

<file path=xl/sharedStrings.xml><?xml version="1.0" encoding="utf-8"?>
<sst xmlns="http://schemas.openxmlformats.org/spreadsheetml/2006/main" count="201" uniqueCount="154">
  <si>
    <t>Results Analysis</t>
  </si>
  <si>
    <t>Field Sieve Data Sheet</t>
  </si>
  <si>
    <t>Wet -16 mm Weight</t>
  </si>
  <si>
    <t>lbs</t>
  </si>
  <si>
    <t>River:</t>
  </si>
  <si>
    <t>Susitna</t>
  </si>
  <si>
    <t xml:space="preserve">  Crew:</t>
  </si>
  <si>
    <t xml:space="preserve">DT, RT, RK, MP </t>
  </si>
  <si>
    <t>Dry -16 mm Weight</t>
  </si>
  <si>
    <t>g  =</t>
  </si>
  <si>
    <t>Date / Time:</t>
  </si>
  <si>
    <t xml:space="preserve">  PRM:</t>
  </si>
  <si>
    <t>% Moisture</t>
  </si>
  <si>
    <t>Field Book #</t>
  </si>
  <si>
    <t>N/A</t>
  </si>
  <si>
    <t xml:space="preserve">  Comments:</t>
  </si>
  <si>
    <t xml:space="preserve">Slough 21 F.A. </t>
  </si>
  <si>
    <t>Sample Location:</t>
  </si>
  <si>
    <t>Head of Bar</t>
  </si>
  <si>
    <t>Camera 1</t>
  </si>
  <si>
    <t>Field Sieve Results</t>
  </si>
  <si>
    <t>Surface/Sub     Subsurface       Bank      Trib Fan      Trib Chan</t>
  </si>
  <si>
    <t>Raw</t>
  </si>
  <si>
    <t>Adjusted for Moisture</t>
  </si>
  <si>
    <t>Cumulative Weight</t>
  </si>
  <si>
    <t>% Finer Field</t>
  </si>
  <si>
    <t>%Finer Lab</t>
  </si>
  <si>
    <t>Adjusted % Finer Lab</t>
  </si>
  <si>
    <t>Compiled Resuts</t>
  </si>
  <si>
    <t>Waypoint(s):</t>
  </si>
  <si>
    <t>GPS 1</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</si>
  <si>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</si>
  <si>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</si>
  <si>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</si>
  <si>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</si>
  <si>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</si>
  <si>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</si>
  <si>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</si>
  <si>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</si>
  <si>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</si>
  <si>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</si>
  <si>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</si>
  <si>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</si>
  <si>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</si>
  <si>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</si>
  <si>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</si>
  <si>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</si>
  <si>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</si>
  <si>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Pit at Centre of Transect</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</si>
  <si>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</si>
  <si>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</si>
  <si>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</si>
  <si>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</si>
  <si>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</si>
  <si>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</si>
  <si>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</si>
  <si>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</si>
  <si>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</si>
  <si>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</si>
  <si>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</si>
  <si>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</si>
  <si>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</si>
  <si>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</si>
  <si>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</si>
  <si>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</si>
  <si>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</si>
  <si>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</si>
  <si>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</si>
  <si>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</si>
  <si>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</si>
  <si>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</si>
  <si>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</si>
  <si>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</si>
  <si>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</si>
  <si>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</si>
  <si>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</si>
  <si>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</si>
  <si>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417.7-416.5</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</si>
  <si>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</si>
  <si>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</si>
  <si>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</si>
  <si>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</si>
  <si>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RWD</t>
  </si>
  <si>
    <t>Photo Backup #</t>
  </si>
  <si>
    <t>Page:</t>
  </si>
  <si>
    <t>1 of 1</t>
  </si>
  <si>
    <t>Pebble Count Data Sheet</t>
  </si>
  <si>
    <t>River / Tributary:</t>
  </si>
  <si>
    <t>Susitna River</t>
  </si>
  <si>
    <t>Crew:</t>
  </si>
  <si>
    <t>DT, RT</t>
  </si>
  <si>
    <t>Susitna R</t>
  </si>
  <si>
    <t xml:space="preserve">Site: </t>
  </si>
  <si>
    <t>Slough 21</t>
  </si>
  <si>
    <t xml:space="preserve">PRM: </t>
  </si>
  <si>
    <t>Slough 21 FA</t>
  </si>
  <si>
    <t xml:space="preserve">  PRM: </t>
  </si>
  <si>
    <t>Length &amp; Interval:</t>
  </si>
  <si>
    <t>100' length, 1' interval</t>
  </si>
  <si>
    <t>Comments:</t>
  </si>
  <si>
    <t>Transect near head of bar</t>
  </si>
  <si>
    <t>Additional Comments</t>
  </si>
  <si>
    <t>Photo(s) #</t>
  </si>
  <si>
    <t>962-966</t>
  </si>
  <si>
    <t>Camera 2</t>
  </si>
  <si>
    <t>Head of Slough 21</t>
  </si>
  <si>
    <t>Bear sighted ~ 1/4 mile D/S</t>
  </si>
  <si>
    <t>Size (mm)</t>
  </si>
  <si>
    <t>Left</t>
  </si>
  <si>
    <t>Sum</t>
  </si>
  <si>
    <t xml:space="preserve">Cum % </t>
  </si>
  <si>
    <t>Center</t>
  </si>
  <si>
    <t>Right</t>
  </si>
  <si>
    <t>Cum Ave</t>
  </si>
  <si>
    <t>&lt; 2</t>
  </si>
  <si>
    <t>Photo #</t>
  </si>
  <si>
    <t>Bar material at mid point of transect</t>
  </si>
  <si>
    <t>View U/S from mid point of transect</t>
  </si>
  <si>
    <t>View D/S from mid point of Transect</t>
  </si>
  <si>
    <t>Photo backup Page 1/2</t>
  </si>
  <si>
    <t>Photo backup Page 2/2</t>
  </si>
  <si>
    <t>LEFT  COUNT</t>
  </si>
  <si>
    <t>CENTER  COUNT</t>
  </si>
  <si>
    <t>RIGHT  COUNT</t>
  </si>
  <si>
    <t>QC1______________</t>
  </si>
  <si>
    <t>DBT</t>
  </si>
  <si>
    <t>Photo Backup_____________</t>
  </si>
  <si>
    <t>QC1______DBT________</t>
  </si>
  <si>
    <t>Page __2___ of ____2__</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</si>
  <si>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</si>
  <si>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</si>
  <si>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</si>
  <si>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</si>
  <si>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</si>
  <si>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</si>
  <si>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</si>
  <si>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</si>
  <si>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</si>
  <si>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</si>
  <si>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</si>
  <si>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</si>
  <si>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</si>
  <si>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</si>
  <si>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</si>
  <si>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</si>
  <si>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</si>
  <si>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</si>
  <si>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</si>
  <si>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</si>
  <si>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</si>
  <si>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</si>
  <si>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</si>
  <si>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</si>
  <si>
    <t>Page _1____ of ___2___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</si>
</sst>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4">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14" fontId="2" fillId="0" borderId="2" xfId="0" applyNumberFormat="1" applyFont="1" applyBorder="1" applyAlignment="1">
      <alignment horizontal="center"/>
    </xf>
    <xf numFmtId="0" fontId="2" fillId="0" borderId="2" xfId="0" applyFont="1" applyBorder="1"/>
    <xf numFmtId="0" fontId="2" fillId="0" borderId="0" xfId="0" quotePrefix="1" applyFont="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applyFont="1" applyBorder="1" applyAlignment="1">
      <alignment horizontal="center"/>
    </xf>
    <xf numFmtId="0" fontId="2" fillId="0" borderId="0" xfId="0" applyFont="1" applyBorder="1" applyAlignment="1"/>
    <xf numFmtId="164" fontId="2" fillId="0" borderId="12" xfId="0" applyNumberFormat="1" applyFont="1" applyBorder="1" applyAlignment="1">
      <alignment horizontal="center"/>
    </xf>
    <xf numFmtId="164" fontId="2" fillId="4" borderId="6" xfId="0" applyNumberFormat="1"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6" xfId="0" quotePrefix="1" applyFont="1" applyBorder="1" applyAlignment="1">
      <alignment horizontal="center"/>
    </xf>
    <xf numFmtId="0" fontId="2" fillId="0" borderId="0"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xf numFmtId="164" fontId="2" fillId="0" borderId="6" xfId="0" applyNumberFormat="1" applyFont="1" applyBorder="1" applyAlignment="1">
      <alignment horizontal="center" vertical="center" wrapText="1"/>
    </xf>
    <xf numFmtId="164" fontId="2" fillId="0" borderId="6"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6" xfId="0" applyFont="1" applyFill="1" applyBorder="1"/>
    <xf numFmtId="0" fontId="2" fillId="6" borderId="6" xfId="0" applyFont="1" applyFill="1" applyBorder="1" applyAlignment="1">
      <alignment horizontal="center" wrapText="1"/>
    </xf>
    <xf numFmtId="0" fontId="2" fillId="6" borderId="6"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4" xfId="0" applyFont="1" applyFill="1" applyBorder="1"/>
    <xf numFmtId="0" fontId="2" fillId="6" borderId="6" xfId="0" applyFont="1" applyFill="1" applyBorder="1"/>
    <xf numFmtId="0" fontId="2" fillId="0" borderId="15" xfId="0" applyFont="1" applyFill="1" applyBorder="1"/>
    <xf numFmtId="0" fontId="8"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0" fillId="0" borderId="0" xfId="0" applyFont="1" applyFill="1"/>
    <xf numFmtId="0" fontId="8" fillId="0" borderId="0" xfId="0" applyFont="1" applyAlignment="1">
      <alignment vertical="top" wrapText="1"/>
    </xf>
    <xf numFmtId="0" fontId="12" fillId="0" borderId="1" xfId="0" applyFont="1" applyBorder="1"/>
    <xf numFmtId="0" fontId="2" fillId="0" borderId="1" xfId="0" applyFont="1" applyBorder="1" applyAlignment="1">
      <alignment horizontal="left"/>
    </xf>
    <xf numFmtId="43" fontId="2" fillId="0" borderId="6" xfId="0" applyNumberFormat="1" applyFont="1" applyBorder="1"/>
    <xf numFmtId="0" fontId="13" fillId="0" borderId="0" xfId="0" applyFont="1"/>
    <xf numFmtId="0" fontId="3" fillId="0" borderId="0" xfId="0" applyFont="1" applyAlignment="1"/>
    <xf numFmtId="0" fontId="3" fillId="0" borderId="0" xfId="0" applyFont="1" applyAlignment="1">
      <alignment horizontal="center"/>
    </xf>
    <xf numFmtId="0" fontId="13" fillId="0" borderId="0" xfId="0" applyFont="1" applyAlignment="1">
      <alignment horizontal="center"/>
    </xf>
    <xf numFmtId="0" fontId="13" fillId="0" borderId="0" xfId="0" applyFont="1" applyBorder="1"/>
    <xf numFmtId="20" fontId="2" fillId="0" borderId="2" xfId="0" applyNumberFormat="1" applyFont="1" applyBorder="1"/>
    <xf numFmtId="0" fontId="2" fillId="0" borderId="2" xfId="0" quotePrefix="1" applyFont="1" applyBorder="1"/>
    <xf numFmtId="0" fontId="2" fillId="0" borderId="2" xfId="0" applyFont="1" applyBorder="1" applyAlignment="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Border="1" applyAlignment="1">
      <alignment horizontal="center" vertical="center"/>
    </xf>
    <xf numFmtId="0" fontId="2" fillId="0" borderId="17" xfId="0" applyFont="1" applyFill="1" applyBorder="1" applyAlignment="1">
      <alignment vertical="center" wrapText="1"/>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2" fillId="0" borderId="6" xfId="0" applyFont="1" applyFill="1" applyBorder="1" applyAlignment="1"/>
    <xf numFmtId="0" fontId="17" fillId="0" borderId="0" xfId="0" applyFont="1" applyFill="1" applyBorder="1" applyAlignment="1"/>
    <xf numFmtId="0" fontId="12"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2" fillId="0" borderId="6" xfId="0" applyFont="1" applyFill="1" applyBorder="1" applyAlignment="1"/>
    <xf numFmtId="0" fontId="2" fillId="0" borderId="6" xfId="0" applyFont="1" applyFill="1" applyBorder="1" applyAlignment="1">
      <alignment vertical="center"/>
    </xf>
    <xf numFmtId="0" fontId="2" fillId="0" borderId="6" xfId="0" quotePrefix="1" applyFont="1" applyFill="1" applyBorder="1" applyAlignment="1"/>
    <xf numFmtId="0" fontId="2" fillId="0" borderId="6" xfId="0" applyFont="1" applyFill="1" applyBorder="1" applyAlignment="1">
      <alignment vertical="center" wrapText="1"/>
    </xf>
    <xf numFmtId="0" fontId="2" fillId="0" borderId="19" xfId="0" applyFont="1" applyFill="1" applyBorder="1" applyAlignment="1"/>
    <xf numFmtId="0" fontId="7" fillId="0" borderId="0" xfId="0" applyFont="1" applyBorder="1"/>
    <xf numFmtId="0" fontId="13" fillId="0" borderId="0" xfId="0" applyFont="1" applyFill="1" applyBorder="1"/>
    <xf numFmtId="0" fontId="2" fillId="0" borderId="0" xfId="0" applyFont="1" applyFill="1" applyBorder="1" applyAlignment="1">
      <alignment horizontal="center"/>
    </xf>
    <xf numFmtId="0" fontId="12" fillId="0" borderId="20" xfId="0" applyFont="1" applyFill="1" applyBorder="1" applyAlignment="1"/>
    <xf numFmtId="0" fontId="12" fillId="0" borderId="16" xfId="0" applyFont="1" applyFill="1" applyBorder="1" applyAlignment="1"/>
    <xf numFmtId="0" fontId="12" fillId="0" borderId="22" xfId="0" applyFont="1" applyFill="1" applyBorder="1" applyAlignment="1"/>
    <xf numFmtId="0" fontId="12" fillId="0" borderId="14"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2" fillId="0" borderId="24" xfId="0" applyFont="1" applyFill="1" applyBorder="1" applyAlignment="1"/>
    <xf numFmtId="0" fontId="12" fillId="0" borderId="18" xfId="0" applyFont="1" applyFill="1" applyBorder="1" applyAlignment="1"/>
    <xf numFmtId="0" fontId="12" fillId="0" borderId="25" xfId="0" applyFont="1" applyFill="1" applyBorder="1" applyAlignment="1"/>
    <xf numFmtId="0" fontId="12" fillId="0" borderId="26" xfId="0" applyFont="1" applyFill="1" applyBorder="1" applyAlignment="1"/>
    <xf numFmtId="0" fontId="18"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center"/>
    </xf>
    <xf numFmtId="164" fontId="2" fillId="7" borderId="6" xfId="0" applyNumberFormat="1" applyFont="1" applyFill="1" applyBorder="1" applyAlignment="1">
      <alignment horizontal="left"/>
    </xf>
    <xf numFmtId="164" fontId="2" fillId="7" borderId="6" xfId="0" quotePrefix="1" applyNumberFormat="1" applyFont="1" applyFill="1" applyBorder="1" applyAlignment="1">
      <alignment horizontal="left"/>
    </xf>
    <xf numFmtId="0" fontId="2" fillId="7" borderId="6" xfId="0" applyFont="1" applyFill="1" applyBorder="1" applyAlignment="1">
      <alignment horizontal="left"/>
    </xf>
    <xf numFmtId="0" fontId="0" fillId="7" borderId="0" xfId="0" applyFill="1" applyAlignment="1">
      <alignment horizontal="center"/>
    </xf>
    <xf numFmtId="164" fontId="0" fillId="7" borderId="0" xfId="0" applyNumberFormat="1" applyFill="1" applyAlignment="1">
      <alignment horizontal="center"/>
    </xf>
    <xf numFmtId="0" fontId="0" fillId="7" borderId="0" xfId="0" applyFill="1"/>
    <xf numFmtId="9" fontId="2" fillId="7" borderId="0" xfId="1" applyFont="1" applyFill="1"/>
    <xf numFmtId="0" fontId="2" fillId="7" borderId="6" xfId="0" quotePrefix="1" applyFont="1" applyFill="1" applyBorder="1" applyAlignment="1">
      <alignment horizontal="center" vertical="center"/>
    </xf>
    <xf numFmtId="0" fontId="2" fillId="7" borderId="6" xfId="0" applyFont="1" applyFill="1" applyBorder="1" applyAlignment="1">
      <alignment horizontal="right" vertical="center" wrapText="1"/>
    </xf>
    <xf numFmtId="164" fontId="2" fillId="0" borderId="14" xfId="0" applyNumberFormat="1" applyFont="1" applyFill="1" applyBorder="1"/>
    <xf numFmtId="0" fontId="2" fillId="7" borderId="6" xfId="0" applyFont="1" applyFill="1" applyBorder="1" applyAlignment="1">
      <alignment horizontal="center" vertical="center"/>
    </xf>
    <xf numFmtId="164" fontId="2" fillId="7" borderId="6" xfId="0" quotePrefix="1" applyNumberFormat="1" applyFont="1" applyFill="1" applyBorder="1" applyAlignment="1">
      <alignment horizontal="center" vertical="center"/>
    </xf>
    <xf numFmtId="0" fontId="2" fillId="7" borderId="0" xfId="0" applyFont="1" applyFill="1" applyBorder="1"/>
    <xf numFmtId="0" fontId="13" fillId="7" borderId="0" xfId="0" applyFont="1" applyFill="1" applyBorder="1"/>
    <xf numFmtId="2" fontId="2" fillId="7" borderId="0" xfId="0" applyNumberFormat="1" applyFont="1" applyFill="1" applyBorder="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quotePrefix="1" applyFont="1" applyFill="1" applyBorder="1" applyAlignment="1"/>
    <xf numFmtId="0" fontId="0" fillId="0" borderId="0" xfId="0" applyAlignment="1">
      <alignment vertical="center"/>
    </xf>
    <xf numFmtId="0" fontId="2" fillId="0" borderId="6" xfId="0" applyFont="1" applyFill="1" applyBorder="1" applyAlignment="1">
      <alignment horizontal="left"/>
    </xf>
    <xf numFmtId="0" fontId="3"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4" xfId="0" applyFont="1" applyFill="1" applyBorder="1" applyAlignment="1">
      <alignment horizontal="left"/>
    </xf>
    <xf numFmtId="0" fontId="2" fillId="0" borderId="1" xfId="0" applyFont="1" applyFill="1" applyBorder="1" applyAlignment="1">
      <alignment horizontal="left"/>
    </xf>
    <xf numFmtId="0" fontId="12" fillId="0" borderId="13"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2" fillId="0" borderId="21" xfId="0" applyFont="1" applyFill="1" applyBorder="1" applyAlignment="1">
      <alignment horizontal="center"/>
    </xf>
    <xf numFmtId="0" fontId="12" fillId="0" borderId="5" xfId="0" applyFont="1" applyFill="1" applyBorder="1" applyAlignment="1">
      <alignment horizont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145.7</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1</c:v>
                </c:pt>
                <c:pt idx="3">
                  <c:v>1</c:v>
                </c:pt>
                <c:pt idx="4">
                  <c:v>2</c:v>
                </c:pt>
                <c:pt idx="5">
                  <c:v>3</c:v>
                </c:pt>
                <c:pt idx="6">
                  <c:v>4</c:v>
                </c:pt>
                <c:pt idx="7">
                  <c:v>6</c:v>
                </c:pt>
                <c:pt idx="8">
                  <c:v>13</c:v>
                </c:pt>
                <c:pt idx="9">
                  <c:v>20</c:v>
                </c:pt>
                <c:pt idx="10">
                  <c:v>33</c:v>
                </c:pt>
                <c:pt idx="11">
                  <c:v>50</c:v>
                </c:pt>
                <c:pt idx="12">
                  <c:v>72</c:v>
                </c:pt>
                <c:pt idx="13">
                  <c:v>96</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1</c:v>
                </c:pt>
                <c:pt idx="3">
                  <c:v>1</c:v>
                </c:pt>
                <c:pt idx="4">
                  <c:v>2</c:v>
                </c:pt>
                <c:pt idx="5">
                  <c:v>3</c:v>
                </c:pt>
                <c:pt idx="6">
                  <c:v>4</c:v>
                </c:pt>
                <c:pt idx="7">
                  <c:v>6</c:v>
                </c:pt>
                <c:pt idx="8">
                  <c:v>13</c:v>
                </c:pt>
                <c:pt idx="9">
                  <c:v>20</c:v>
                </c:pt>
                <c:pt idx="10">
                  <c:v>33</c:v>
                </c:pt>
                <c:pt idx="11">
                  <c:v>50</c:v>
                </c:pt>
                <c:pt idx="12">
                  <c:v>72</c:v>
                </c:pt>
                <c:pt idx="13">
                  <c:v>96</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SubS!$AD$9:$AD$25</c:f>
              <c:numCache>
                <c:formatCode>0.0</c:formatCode>
                <c:ptCount val="17"/>
                <c:pt idx="0">
                  <c:v>256</c:v>
                </c:pt>
                <c:pt idx="1">
                  <c:v>180</c:v>
                </c:pt>
                <c:pt idx="2">
                  <c:v>128</c:v>
                </c:pt>
                <c:pt idx="3">
                  <c:v>90</c:v>
                </c:pt>
                <c:pt idx="4">
                  <c:v>64</c:v>
                </c:pt>
                <c:pt idx="5">
                  <c:v>45</c:v>
                </c:pt>
                <c:pt idx="6">
                  <c:v>32</c:v>
                </c:pt>
                <c:pt idx="7">
                  <c:v>22.5</c:v>
                </c:pt>
                <c:pt idx="8">
                  <c:v>16</c:v>
                </c:pt>
                <c:pt idx="9">
                  <c:v>8</c:v>
                </c:pt>
                <c:pt idx="10">
                  <c:v>4</c:v>
                </c:pt>
                <c:pt idx="11">
                  <c:v>2</c:v>
                </c:pt>
                <c:pt idx="12">
                  <c:v>1</c:v>
                </c:pt>
                <c:pt idx="13">
                  <c:v>0.5</c:v>
                </c:pt>
                <c:pt idx="14" formatCode="General">
                  <c:v>0.25</c:v>
                </c:pt>
                <c:pt idx="15" formatCode="General">
                  <c:v>0.125</c:v>
                </c:pt>
                <c:pt idx="16" formatCode="General">
                  <c:v>6.25E-2</c:v>
                </c:pt>
              </c:numCache>
            </c:numRef>
          </c:xVal>
          <c:yVal>
            <c:numRef>
              <c:f>SubS!$AK$8:$AK$25</c:f>
              <c:numCache>
                <c:formatCode>_(* #,##0.00_);_(* \(#,##0.00\);_(* "-"??_);_(@_)</c:formatCode>
                <c:ptCount val="18"/>
                <c:pt idx="0">
                  <c:v>100</c:v>
                </c:pt>
                <c:pt idx="1">
                  <c:v>100</c:v>
                </c:pt>
                <c:pt idx="2">
                  <c:v>100</c:v>
                </c:pt>
                <c:pt idx="3">
                  <c:v>96.482912101058332</c:v>
                </c:pt>
                <c:pt idx="4">
                  <c:v>82.826908741719308</c:v>
                </c:pt>
                <c:pt idx="5">
                  <c:v>73.221620410816541</c:v>
                </c:pt>
                <c:pt idx="6">
                  <c:v>62.185241141723743</c:v>
                </c:pt>
                <c:pt idx="7">
                  <c:v>52.992301047248624</c:v>
                </c:pt>
                <c:pt idx="8">
                  <c:v>46.055148363818851</c:v>
                </c:pt>
                <c:pt idx="9">
                  <c:v>39.724390145723852</c:v>
                </c:pt>
                <c:pt idx="10">
                  <c:v>34.162975525322516</c:v>
                </c:pt>
                <c:pt idx="11">
                  <c:v>31.382268215121844</c:v>
                </c:pt>
                <c:pt idx="12">
                  <c:v>24.231877988891551</c:v>
                </c:pt>
                <c:pt idx="13">
                  <c:v>17.875975565575736</c:v>
                </c:pt>
                <c:pt idx="14">
                  <c:v>13.903536551003349</c:v>
                </c:pt>
                <c:pt idx="15">
                  <c:v>5.9586585218585775</c:v>
                </c:pt>
                <c:pt idx="16">
                  <c:v>2.7807073102006701</c:v>
                </c:pt>
                <c:pt idx="17">
                  <c:v>1.4300780452460589</c:v>
                </c:pt>
              </c:numCache>
            </c:numRef>
          </c:yVal>
          <c:smooth val="0"/>
        </c:ser>
        <c:dLbls>
          <c:showLegendKey val="0"/>
          <c:showVal val="0"/>
          <c:showCatName val="0"/>
          <c:showSerName val="0"/>
          <c:showPercent val="0"/>
          <c:showBubbleSize val="0"/>
        </c:dLbls>
        <c:axId val="113687936"/>
        <c:axId val="106104320"/>
      </c:scatterChart>
      <c:valAx>
        <c:axId val="11368793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06104320"/>
        <c:crosses val="autoZero"/>
        <c:crossBetween val="midCat"/>
        <c:majorUnit val="10"/>
        <c:minorUnit val="10"/>
      </c:valAx>
      <c:valAx>
        <c:axId val="10610432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1368793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216479</xdr:colOff>
      <xdr:row>0</xdr:row>
      <xdr:rowOff>0</xdr:rowOff>
    </xdr:from>
    <xdr:to>
      <xdr:col>27</xdr:col>
      <xdr:colOff>353003</xdr:colOff>
      <xdr:row>24</xdr:row>
      <xdr:rowOff>61017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5679" y="0"/>
          <a:ext cx="9947274" cy="8054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514350</xdr:colOff>
      <xdr:row>0</xdr:row>
      <xdr:rowOff>89515</xdr:rowOff>
    </xdr:from>
    <xdr:to>
      <xdr:col>8</xdr:col>
      <xdr:colOff>630670</xdr:colOff>
      <xdr:row>1</xdr:row>
      <xdr:rowOff>85668</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086475" y="89515"/>
          <a:ext cx="1259320" cy="291428"/>
        </a:xfrm>
        <a:prstGeom prst="rect">
          <a:avLst/>
        </a:prstGeom>
      </xdr:spPr>
    </xdr:pic>
    <xdr:clientData/>
  </xdr:twoCellAnchor>
  <xdr:twoCellAnchor editAs="oneCell">
    <xdr:from>
      <xdr:col>10</xdr:col>
      <xdr:colOff>102870</xdr:colOff>
      <xdr:row>1</xdr:row>
      <xdr:rowOff>295215</xdr:rowOff>
    </xdr:from>
    <xdr:to>
      <xdr:col>10</xdr:col>
      <xdr:colOff>591705</xdr:colOff>
      <xdr:row>5</xdr:row>
      <xdr:rowOff>175201</xdr:rowOff>
    </xdr:to>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94345" y="590490"/>
          <a:ext cx="488835" cy="727711"/>
        </a:xfrm>
        <a:prstGeom prst="rect">
          <a:avLst/>
        </a:prstGeom>
      </xdr:spPr>
    </xdr:pic>
    <xdr:clientData/>
  </xdr:twoCellAnchor>
  <xdr:twoCellAnchor>
    <xdr:from>
      <xdr:col>2</xdr:col>
      <xdr:colOff>156210</xdr:colOff>
      <xdr:row>6</xdr:row>
      <xdr:rowOff>466725</xdr:rowOff>
    </xdr:from>
    <xdr:to>
      <xdr:col>3</xdr:col>
      <xdr:colOff>148590</xdr:colOff>
      <xdr:row>7</xdr:row>
      <xdr:rowOff>26670</xdr:rowOff>
    </xdr:to>
    <xdr:sp macro="" textlink="">
      <xdr:nvSpPr>
        <xdr:cNvPr id="6" name="Oval 5"/>
        <xdr:cNvSpPr/>
      </xdr:nvSpPr>
      <xdr:spPr>
        <a:xfrm>
          <a:off x="1527810" y="1790700"/>
          <a:ext cx="840105" cy="2838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opLeftCell="N1" workbookViewId="0">
      <selection activeCell="I33" sqref="I33"/>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34" t="s">
        <v>0</v>
      </c>
      <c r="AE1" s="134"/>
      <c r="AF1" s="134"/>
      <c r="AG1" s="134"/>
      <c r="AH1" s="134"/>
      <c r="AI1" s="134"/>
      <c r="AJ1" s="134"/>
      <c r="AK1" s="134"/>
    </row>
    <row r="2" spans="2:37" ht="23.25" x14ac:dyDescent="0.35">
      <c r="B2" s="134" t="s">
        <v>1</v>
      </c>
      <c r="C2" s="134"/>
      <c r="D2" s="134"/>
      <c r="E2" s="134"/>
      <c r="F2" s="134"/>
      <c r="G2" s="134"/>
      <c r="H2" s="134"/>
      <c r="I2" s="134"/>
      <c r="J2" s="134"/>
      <c r="K2" s="134"/>
      <c r="AD2" s="1" t="s">
        <v>2</v>
      </c>
      <c r="AF2" s="2">
        <f>+AE26</f>
        <v>168</v>
      </c>
      <c r="AG2" s="1" t="s">
        <v>3</v>
      </c>
    </row>
    <row r="3" spans="2:37" x14ac:dyDescent="0.2">
      <c r="B3" s="3" t="s">
        <v>4</v>
      </c>
      <c r="C3" s="4"/>
      <c r="D3" s="5" t="s">
        <v>5</v>
      </c>
      <c r="E3" s="4"/>
      <c r="F3" s="1" t="s">
        <v>6</v>
      </c>
      <c r="G3" s="4" t="s">
        <v>7</v>
      </c>
      <c r="H3" s="4"/>
      <c r="I3" s="4"/>
      <c r="J3" s="4"/>
      <c r="K3" s="3"/>
      <c r="AD3" s="1" t="s">
        <v>8</v>
      </c>
      <c r="AF3" s="6">
        <v>7694</v>
      </c>
      <c r="AG3" s="1" t="s">
        <v>9</v>
      </c>
      <c r="AH3" s="7">
        <f>+AF3*0.0022046</f>
        <v>16.962192399999999</v>
      </c>
      <c r="AI3" s="1" t="s">
        <v>3</v>
      </c>
    </row>
    <row r="4" spans="2:37" ht="13.9" x14ac:dyDescent="0.25">
      <c r="B4" s="3" t="s">
        <v>10</v>
      </c>
      <c r="C4" s="8"/>
      <c r="D4" s="9">
        <v>41503</v>
      </c>
      <c r="E4" s="10"/>
      <c r="F4" s="11" t="s">
        <v>11</v>
      </c>
      <c r="G4" s="10">
        <v>145.69999999999999</v>
      </c>
      <c r="H4" s="10"/>
      <c r="I4" s="10"/>
      <c r="J4" s="10"/>
      <c r="K4" s="3"/>
      <c r="AD4" s="1" t="s">
        <v>12</v>
      </c>
      <c r="AF4" s="120">
        <f>1-AH3/H42</f>
        <v>2.5161356321839246E-2</v>
      </c>
    </row>
    <row r="5" spans="2:37" ht="15" thickBot="1" x14ac:dyDescent="0.25">
      <c r="B5" s="3" t="s">
        <v>13</v>
      </c>
      <c r="C5" s="10"/>
      <c r="D5" s="13" t="s">
        <v>14</v>
      </c>
      <c r="E5" s="10"/>
      <c r="F5" s="11" t="s">
        <v>15</v>
      </c>
      <c r="G5" s="14" t="s">
        <v>16</v>
      </c>
      <c r="H5" s="10"/>
      <c r="I5" s="10"/>
      <c r="J5" s="10"/>
      <c r="K5" s="3"/>
      <c r="AF5" s="12"/>
    </row>
    <row r="6" spans="2:37" x14ac:dyDescent="0.2">
      <c r="B6" s="3" t="s">
        <v>17</v>
      </c>
      <c r="C6" s="10"/>
      <c r="D6" s="10" t="s">
        <v>18</v>
      </c>
      <c r="E6" s="10"/>
      <c r="F6" s="11"/>
      <c r="G6" s="10" t="s">
        <v>19</v>
      </c>
      <c r="H6" s="10"/>
      <c r="I6" s="10"/>
      <c r="J6" s="10"/>
      <c r="K6" s="3"/>
      <c r="AE6" s="135" t="s">
        <v>20</v>
      </c>
      <c r="AF6" s="136"/>
      <c r="AG6" s="136"/>
      <c r="AH6" s="137"/>
    </row>
    <row r="7" spans="2:37" ht="57" x14ac:dyDescent="0.2">
      <c r="B7" s="4" t="s">
        <v>21</v>
      </c>
      <c r="C7" s="10"/>
      <c r="D7" s="10"/>
      <c r="E7" s="10"/>
      <c r="F7" s="11"/>
      <c r="G7" s="10"/>
      <c r="H7" s="10"/>
      <c r="I7" s="10"/>
      <c r="J7" s="10"/>
      <c r="K7" s="3"/>
      <c r="AE7" s="15" t="s">
        <v>22</v>
      </c>
      <c r="AF7" s="15" t="s">
        <v>23</v>
      </c>
      <c r="AG7" s="16" t="s">
        <v>24</v>
      </c>
      <c r="AH7" s="16" t="s">
        <v>25</v>
      </c>
      <c r="AI7" s="16" t="s">
        <v>26</v>
      </c>
      <c r="AJ7" s="16" t="s">
        <v>27</v>
      </c>
      <c r="AK7" s="16" t="s">
        <v>28</v>
      </c>
    </row>
    <row r="8" spans="2:37" ht="13.9" x14ac:dyDescent="0.25">
      <c r="B8" s="3" t="s">
        <v>29</v>
      </c>
      <c r="C8" s="10"/>
      <c r="D8" s="13" t="s">
        <v>30</v>
      </c>
      <c r="E8" s="10"/>
      <c r="G8" s="10"/>
      <c r="H8" s="10"/>
      <c r="I8" s="10"/>
      <c r="J8" s="10"/>
      <c r="K8" s="3"/>
      <c r="AD8" s="114">
        <v>360</v>
      </c>
      <c r="AE8" s="17">
        <f t="shared" ref="AE8:AE17" si="0">+H30</f>
        <v>0</v>
      </c>
      <c r="AF8" s="17">
        <f>+AE8</f>
        <v>0</v>
      </c>
      <c r="AG8" s="17">
        <f>+AF8</f>
        <v>0</v>
      </c>
      <c r="AH8" s="18">
        <f>1-(AG8/AF$27)</f>
        <v>1</v>
      </c>
      <c r="AI8" s="19"/>
      <c r="AJ8" s="19"/>
      <c r="AK8" s="68">
        <f t="shared" ref="AK8:AK17" si="1">+AH8*100</f>
        <v>100</v>
      </c>
    </row>
    <row r="9" spans="2:37" ht="14.45" thickBot="1" x14ac:dyDescent="0.3">
      <c r="G9" s="10"/>
      <c r="H9" s="10"/>
      <c r="I9" s="10"/>
      <c r="J9" s="10"/>
      <c r="K9" s="3"/>
      <c r="AD9" s="114">
        <v>256</v>
      </c>
      <c r="AE9" s="17">
        <f>+H31</f>
        <v>0</v>
      </c>
      <c r="AF9" s="17">
        <f t="shared" ref="AF9:AF17" si="2">+AE9</f>
        <v>0</v>
      </c>
      <c r="AG9" s="20">
        <f>+AF9+AG8</f>
        <v>0</v>
      </c>
      <c r="AH9" s="18">
        <f>1-(AG9/AF$27)</f>
        <v>1</v>
      </c>
      <c r="AI9" s="19"/>
      <c r="AJ9" s="19"/>
      <c r="AK9" s="68">
        <f t="shared" si="1"/>
        <v>100</v>
      </c>
    </row>
    <row r="10" spans="2:37" ht="18" thickBot="1" x14ac:dyDescent="0.35">
      <c r="B10" s="138" t="s">
        <v>31</v>
      </c>
      <c r="C10" s="139"/>
      <c r="D10" s="139"/>
      <c r="E10" s="140"/>
      <c r="G10" s="21"/>
      <c r="H10" s="21"/>
      <c r="I10" s="21"/>
      <c r="J10" s="21"/>
      <c r="AD10" s="114">
        <v>180</v>
      </c>
      <c r="AE10" s="17">
        <f>+H32</f>
        <v>0</v>
      </c>
      <c r="AF10" s="17">
        <f t="shared" si="2"/>
        <v>0</v>
      </c>
      <c r="AG10" s="20">
        <f t="shared" ref="AG10:AG17" si="3">+AF10+AG9</f>
        <v>0</v>
      </c>
      <c r="AH10" s="18">
        <f t="shared" ref="AH10:AH17" si="4">1-(AG10/AF$27)</f>
        <v>1</v>
      </c>
      <c r="AI10" s="19"/>
      <c r="AJ10" s="19"/>
      <c r="AK10" s="68">
        <f t="shared" si="1"/>
        <v>100</v>
      </c>
    </row>
    <row r="11" spans="2:37" ht="16.149999999999999" x14ac:dyDescent="0.35">
      <c r="B11" s="22" t="s">
        <v>32</v>
      </c>
      <c r="C11" s="22" t="s">
        <v>33</v>
      </c>
      <c r="D11" s="22" t="s">
        <v>34</v>
      </c>
      <c r="E11" s="22" t="s">
        <v>35</v>
      </c>
      <c r="G11" s="23" t="s">
        <v>36</v>
      </c>
      <c r="H11" s="4">
        <v>320</v>
      </c>
      <c r="I11" s="4"/>
      <c r="J11" s="3"/>
      <c r="AD11" s="114">
        <v>128</v>
      </c>
      <c r="AE11" s="17">
        <f t="shared" si="0"/>
        <v>14.5</v>
      </c>
      <c r="AF11" s="17">
        <f t="shared" si="2"/>
        <v>14.5</v>
      </c>
      <c r="AG11" s="20">
        <f t="shared" si="3"/>
        <v>14.5</v>
      </c>
      <c r="AH11" s="18">
        <f t="shared" si="4"/>
        <v>0.96482912101058338</v>
      </c>
      <c r="AI11" s="19"/>
      <c r="AJ11" s="19"/>
      <c r="AK11" s="68">
        <f t="shared" si="1"/>
        <v>96.482912101058332</v>
      </c>
    </row>
    <row r="12" spans="2:37" ht="27.6" x14ac:dyDescent="0.25">
      <c r="B12" s="24" t="s">
        <v>37</v>
      </c>
      <c r="C12" s="25" t="s">
        <v>38</v>
      </c>
      <c r="D12" s="25" t="s">
        <v>39</v>
      </c>
      <c r="E12" s="25" t="s">
        <v>40</v>
      </c>
      <c r="G12" s="23" t="s">
        <v>41</v>
      </c>
      <c r="H12" s="26">
        <v>2</v>
      </c>
      <c r="I12" s="10"/>
      <c r="AD12" s="115">
        <v>90</v>
      </c>
      <c r="AE12" s="17">
        <f t="shared" si="0"/>
        <v>56.3</v>
      </c>
      <c r="AF12" s="17">
        <f t="shared" si="2"/>
        <v>56.3</v>
      </c>
      <c r="AG12" s="20">
        <f t="shared" si="3"/>
        <v>70.8</v>
      </c>
      <c r="AH12" s="18">
        <f t="shared" si="4"/>
        <v>0.82826908741719307</v>
      </c>
      <c r="AI12" s="19"/>
      <c r="AJ12" s="19"/>
      <c r="AK12" s="68">
        <f t="shared" si="1"/>
        <v>82.826908741719308</v>
      </c>
    </row>
    <row r="13" spans="2:37" ht="13.9" x14ac:dyDescent="0.25">
      <c r="B13" s="24"/>
      <c r="C13" s="25"/>
      <c r="D13" s="25"/>
      <c r="E13" s="27" t="s">
        <v>42</v>
      </c>
      <c r="G13" s="23"/>
      <c r="H13" s="21"/>
      <c r="I13" s="21"/>
      <c r="AD13" s="115">
        <v>64</v>
      </c>
      <c r="AE13" s="17">
        <f t="shared" si="0"/>
        <v>39.599999999999994</v>
      </c>
      <c r="AF13" s="17">
        <f t="shared" si="2"/>
        <v>39.599999999999994</v>
      </c>
      <c r="AG13" s="20">
        <f t="shared" si="3"/>
        <v>110.39999999999999</v>
      </c>
      <c r="AH13" s="18">
        <f t="shared" si="4"/>
        <v>0.73221620410816546</v>
      </c>
      <c r="AI13" s="19"/>
      <c r="AJ13" s="19"/>
      <c r="AK13" s="68">
        <f t="shared" si="1"/>
        <v>73.221620410816541</v>
      </c>
    </row>
    <row r="14" spans="2:37" ht="13.9" x14ac:dyDescent="0.25">
      <c r="B14" s="28">
        <v>1</v>
      </c>
      <c r="C14" s="29">
        <v>1.7</v>
      </c>
      <c r="D14" s="29">
        <v>77.099999999999994</v>
      </c>
      <c r="E14" s="29">
        <f>+D14-C14</f>
        <v>75.399999999999991</v>
      </c>
      <c r="G14" s="23" t="s">
        <v>43</v>
      </c>
      <c r="H14" s="30">
        <v>417.7</v>
      </c>
      <c r="I14" s="4"/>
      <c r="AD14" s="114">
        <v>45</v>
      </c>
      <c r="AE14" s="17">
        <f t="shared" si="0"/>
        <v>45.5</v>
      </c>
      <c r="AF14" s="17">
        <f t="shared" si="2"/>
        <v>45.5</v>
      </c>
      <c r="AG14" s="20">
        <f t="shared" si="3"/>
        <v>155.89999999999998</v>
      </c>
      <c r="AH14" s="18">
        <f t="shared" si="4"/>
        <v>0.62185241141723746</v>
      </c>
      <c r="AI14" s="19"/>
      <c r="AJ14" s="19"/>
      <c r="AK14" s="68">
        <f t="shared" si="1"/>
        <v>62.185241141723743</v>
      </c>
    </row>
    <row r="15" spans="2:37" ht="13.9" x14ac:dyDescent="0.25">
      <c r="B15" s="28">
        <v>2</v>
      </c>
      <c r="C15" s="29">
        <v>1.7</v>
      </c>
      <c r="D15" s="29">
        <v>68.2</v>
      </c>
      <c r="E15" s="29">
        <f t="shared" ref="E15:E19" si="5">+D15-C15</f>
        <v>66.5</v>
      </c>
      <c r="L15" s="3"/>
      <c r="M15" s="3"/>
      <c r="N15" s="3"/>
      <c r="O15" s="3"/>
      <c r="AD15" s="114">
        <v>32</v>
      </c>
      <c r="AE15" s="17">
        <f t="shared" si="0"/>
        <v>37.9</v>
      </c>
      <c r="AF15" s="17">
        <f t="shared" si="2"/>
        <v>37.9</v>
      </c>
      <c r="AG15" s="20">
        <f t="shared" si="3"/>
        <v>193.79999999999998</v>
      </c>
      <c r="AH15" s="18">
        <f t="shared" si="4"/>
        <v>0.52992301047248624</v>
      </c>
      <c r="AI15" s="19"/>
      <c r="AJ15" s="19"/>
      <c r="AK15" s="68">
        <f t="shared" si="1"/>
        <v>52.992301047248624</v>
      </c>
    </row>
    <row r="16" spans="2:37" ht="13.9" x14ac:dyDescent="0.25">
      <c r="B16" s="28">
        <v>3</v>
      </c>
      <c r="C16" s="29">
        <v>1.7</v>
      </c>
      <c r="D16" s="29">
        <v>71.2</v>
      </c>
      <c r="E16" s="29">
        <f t="shared" si="5"/>
        <v>69.5</v>
      </c>
      <c r="G16" s="141" t="s">
        <v>44</v>
      </c>
      <c r="H16" s="142"/>
      <c r="I16" s="142"/>
      <c r="J16" s="142"/>
      <c r="L16" s="3"/>
      <c r="M16" s="3"/>
      <c r="N16" s="3"/>
      <c r="O16" s="3"/>
      <c r="AD16" s="114">
        <v>22.5</v>
      </c>
      <c r="AE16" s="17">
        <f t="shared" si="0"/>
        <v>28.6</v>
      </c>
      <c r="AF16" s="17">
        <f t="shared" si="2"/>
        <v>28.6</v>
      </c>
      <c r="AG16" s="20">
        <f t="shared" si="3"/>
        <v>222.39999999999998</v>
      </c>
      <c r="AH16" s="18">
        <f t="shared" si="4"/>
        <v>0.46055148363818854</v>
      </c>
      <c r="AI16" s="19"/>
      <c r="AJ16" s="19"/>
      <c r="AK16" s="68">
        <f t="shared" si="1"/>
        <v>46.055148363818851</v>
      </c>
    </row>
    <row r="17" spans="2:37" ht="18" customHeight="1" x14ac:dyDescent="0.25">
      <c r="B17" s="28">
        <v>4</v>
      </c>
      <c r="C17" s="29">
        <v>1.7</v>
      </c>
      <c r="D17" s="29">
        <v>70.5</v>
      </c>
      <c r="E17" s="29">
        <f t="shared" si="5"/>
        <v>68.8</v>
      </c>
      <c r="F17" s="11" t="s">
        <v>45</v>
      </c>
      <c r="G17" s="28" t="s">
        <v>46</v>
      </c>
      <c r="H17" s="143" t="s">
        <v>47</v>
      </c>
      <c r="I17" s="143"/>
      <c r="J17" s="143"/>
      <c r="K17" s="143"/>
      <c r="L17" s="31"/>
      <c r="M17" s="31"/>
      <c r="N17" s="31"/>
      <c r="O17" s="31"/>
      <c r="AD17" s="114">
        <v>16</v>
      </c>
      <c r="AE17" s="17">
        <f t="shared" si="0"/>
        <v>26.1</v>
      </c>
      <c r="AF17" s="17">
        <f t="shared" si="2"/>
        <v>26.1</v>
      </c>
      <c r="AG17" s="20">
        <f t="shared" si="3"/>
        <v>248.49999999999997</v>
      </c>
      <c r="AH17" s="18">
        <f t="shared" si="4"/>
        <v>0.39724390145723854</v>
      </c>
      <c r="AI17" s="32">
        <v>100</v>
      </c>
      <c r="AJ17" s="18">
        <f>+AI17/100*AH$17</f>
        <v>0.39724390145723854</v>
      </c>
      <c r="AK17" s="68">
        <f t="shared" si="1"/>
        <v>39.724390145723852</v>
      </c>
    </row>
    <row r="18" spans="2:37" ht="18" customHeight="1" x14ac:dyDescent="0.25">
      <c r="B18" s="28">
        <v>5</v>
      </c>
      <c r="C18" s="29">
        <v>1.7</v>
      </c>
      <c r="D18" s="29">
        <v>72.7</v>
      </c>
      <c r="E18" s="29">
        <f t="shared" si="5"/>
        <v>71</v>
      </c>
      <c r="G18" s="33">
        <v>967</v>
      </c>
      <c r="H18" s="133" t="s">
        <v>48</v>
      </c>
      <c r="I18" s="133"/>
      <c r="J18" s="133"/>
      <c r="K18" s="133"/>
      <c r="L18" s="34"/>
      <c r="M18" s="34"/>
      <c r="N18" s="34"/>
      <c r="O18" s="34"/>
      <c r="AD18" s="114">
        <v>8</v>
      </c>
      <c r="AE18" s="19"/>
      <c r="AF18" s="19"/>
      <c r="AG18" s="19"/>
      <c r="AH18" s="19"/>
      <c r="AI18" s="32">
        <v>86</v>
      </c>
      <c r="AJ18" s="18">
        <f t="shared" ref="AJ18:AJ25" si="6">+AI18/100*AH$17</f>
        <v>0.34162975525322514</v>
      </c>
      <c r="AK18" s="68">
        <f t="shared" ref="AK18:AK25" si="7">+AJ18*100</f>
        <v>34.162975525322516</v>
      </c>
    </row>
    <row r="19" spans="2:37" ht="18" customHeight="1" x14ac:dyDescent="0.25">
      <c r="B19" s="28">
        <v>6</v>
      </c>
      <c r="C19" s="29">
        <v>1.7</v>
      </c>
      <c r="D19" s="29">
        <v>68.2</v>
      </c>
      <c r="E19" s="29">
        <f t="shared" si="5"/>
        <v>66.5</v>
      </c>
      <c r="G19" s="33"/>
      <c r="H19" s="133"/>
      <c r="I19" s="133"/>
      <c r="J19" s="133"/>
      <c r="K19" s="133"/>
      <c r="L19" s="34"/>
      <c r="M19" s="34"/>
      <c r="N19" s="34"/>
      <c r="O19" s="34"/>
      <c r="AD19" s="114">
        <v>4</v>
      </c>
      <c r="AE19" s="19"/>
      <c r="AF19" s="19"/>
      <c r="AG19" s="19"/>
      <c r="AH19" s="19"/>
      <c r="AI19" s="32">
        <v>79</v>
      </c>
      <c r="AJ19" s="18">
        <f t="shared" si="6"/>
        <v>0.31382268215121845</v>
      </c>
      <c r="AK19" s="68">
        <f t="shared" si="7"/>
        <v>31.382268215121844</v>
      </c>
    </row>
    <row r="20" spans="2:37" ht="18" customHeight="1" x14ac:dyDescent="0.25">
      <c r="B20" s="28">
        <v>7</v>
      </c>
      <c r="C20" s="29"/>
      <c r="D20" s="29"/>
      <c r="E20" s="35"/>
      <c r="G20" s="33"/>
      <c r="H20" s="133"/>
      <c r="I20" s="133"/>
      <c r="J20" s="133"/>
      <c r="K20" s="133"/>
      <c r="L20" s="34"/>
      <c r="M20" s="34"/>
      <c r="N20" s="34"/>
      <c r="O20" s="34"/>
      <c r="AD20" s="114">
        <v>2</v>
      </c>
      <c r="AE20" s="19"/>
      <c r="AF20" s="19"/>
      <c r="AG20" s="19"/>
      <c r="AH20" s="19"/>
      <c r="AI20" s="32">
        <v>61</v>
      </c>
      <c r="AJ20" s="18">
        <f t="shared" si="6"/>
        <v>0.24231877988891551</v>
      </c>
      <c r="AK20" s="68">
        <f t="shared" si="7"/>
        <v>24.231877988891551</v>
      </c>
    </row>
    <row r="21" spans="2:37" ht="18" customHeight="1" x14ac:dyDescent="0.25">
      <c r="B21" s="28">
        <v>8</v>
      </c>
      <c r="C21" s="29"/>
      <c r="D21" s="29"/>
      <c r="E21" s="35"/>
      <c r="G21" s="33"/>
      <c r="H21" s="133"/>
      <c r="I21" s="133"/>
      <c r="J21" s="133"/>
      <c r="K21" s="133"/>
      <c r="L21" s="34"/>
      <c r="M21" s="34"/>
      <c r="N21" s="34"/>
      <c r="O21" s="34"/>
      <c r="AD21" s="114">
        <v>1</v>
      </c>
      <c r="AE21" s="19"/>
      <c r="AF21" s="19"/>
      <c r="AG21" s="19"/>
      <c r="AH21" s="19"/>
      <c r="AI21" s="32">
        <v>45</v>
      </c>
      <c r="AJ21" s="18">
        <f t="shared" si="6"/>
        <v>0.17875975565575736</v>
      </c>
      <c r="AK21" s="68">
        <f t="shared" si="7"/>
        <v>17.875975565575736</v>
      </c>
    </row>
    <row r="22" spans="2:37" ht="18" customHeight="1" x14ac:dyDescent="0.25">
      <c r="B22" s="28">
        <v>9</v>
      </c>
      <c r="C22" s="29"/>
      <c r="D22" s="29"/>
      <c r="E22" s="35"/>
      <c r="G22" s="33"/>
      <c r="H22" s="133"/>
      <c r="I22" s="133"/>
      <c r="J22" s="133"/>
      <c r="K22" s="133"/>
      <c r="L22" s="34"/>
      <c r="M22" s="34"/>
      <c r="N22" s="34"/>
      <c r="O22" s="34"/>
      <c r="AD22" s="114">
        <v>0.5</v>
      </c>
      <c r="AE22" s="19"/>
      <c r="AF22" s="19"/>
      <c r="AG22" s="19"/>
      <c r="AH22" s="19"/>
      <c r="AI22" s="32">
        <v>35</v>
      </c>
      <c r="AJ22" s="18">
        <f t="shared" si="6"/>
        <v>0.13903536551003348</v>
      </c>
      <c r="AK22" s="68">
        <f t="shared" si="7"/>
        <v>13.903536551003349</v>
      </c>
    </row>
    <row r="23" spans="2:37" ht="18" customHeight="1" x14ac:dyDescent="0.25">
      <c r="B23" s="28">
        <v>10</v>
      </c>
      <c r="C23" s="29"/>
      <c r="D23" s="29"/>
      <c r="E23" s="35"/>
      <c r="G23" s="33"/>
      <c r="H23" s="133"/>
      <c r="I23" s="133"/>
      <c r="J23" s="133"/>
      <c r="K23" s="133"/>
      <c r="L23" s="34"/>
      <c r="M23" s="34"/>
      <c r="N23" s="34"/>
      <c r="O23" s="34"/>
      <c r="AD23" s="116">
        <v>0.25</v>
      </c>
      <c r="AE23" s="19"/>
      <c r="AF23" s="19"/>
      <c r="AG23" s="19"/>
      <c r="AH23" s="19"/>
      <c r="AI23" s="32">
        <v>15</v>
      </c>
      <c r="AJ23" s="18">
        <f t="shared" si="6"/>
        <v>5.9586585218585779E-2</v>
      </c>
      <c r="AK23" s="68">
        <f t="shared" si="7"/>
        <v>5.9586585218585775</v>
      </c>
    </row>
    <row r="24" spans="2:37" ht="18" customHeight="1" x14ac:dyDescent="0.2">
      <c r="B24" s="28" t="s">
        <v>49</v>
      </c>
      <c r="C24" s="29">
        <f>SUM(C14:C23)</f>
        <v>10.199999999999999</v>
      </c>
      <c r="D24" s="29">
        <f>SUM(D14:D23)</f>
        <v>427.9</v>
      </c>
      <c r="E24" s="36">
        <f>SUM(E14:E23)</f>
        <v>417.7</v>
      </c>
      <c r="G24" s="33"/>
      <c r="H24" s="133"/>
      <c r="I24" s="133"/>
      <c r="J24" s="133"/>
      <c r="K24" s="133"/>
      <c r="L24" s="34"/>
      <c r="M24" s="34"/>
      <c r="N24" s="34"/>
      <c r="O24" s="34"/>
      <c r="AD24" s="116">
        <v>0.125</v>
      </c>
      <c r="AE24" s="19"/>
      <c r="AF24" s="19"/>
      <c r="AG24" s="19"/>
      <c r="AH24" s="19"/>
      <c r="AI24" s="32">
        <v>7</v>
      </c>
      <c r="AJ24" s="18">
        <f t="shared" si="6"/>
        <v>2.78070731020067E-2</v>
      </c>
      <c r="AK24" s="68">
        <f t="shared" si="7"/>
        <v>2.7807073102006701</v>
      </c>
    </row>
    <row r="25" spans="2:37" ht="25.15" customHeight="1" x14ac:dyDescent="0.2">
      <c r="B25" s="37"/>
      <c r="C25" s="3"/>
      <c r="D25" s="3"/>
      <c r="E25" s="3"/>
      <c r="G25" s="38"/>
      <c r="H25" s="39"/>
      <c r="I25" s="39"/>
      <c r="J25" s="40"/>
      <c r="K25" s="41" t="s">
        <v>50</v>
      </c>
      <c r="L25" s="3"/>
      <c r="M25" s="3"/>
      <c r="N25" s="3"/>
      <c r="O25" s="3"/>
      <c r="AD25" s="116">
        <v>6.25E-2</v>
      </c>
      <c r="AE25" s="17"/>
      <c r="AF25" s="17"/>
      <c r="AG25" s="17"/>
      <c r="AH25" s="17"/>
      <c r="AI25" s="17">
        <v>3.6</v>
      </c>
      <c r="AJ25" s="18">
        <f t="shared" si="6"/>
        <v>1.4300780452460589E-2</v>
      </c>
      <c r="AK25" s="68">
        <f t="shared" si="7"/>
        <v>1.4300780452460589</v>
      </c>
    </row>
    <row r="26" spans="2:37" ht="20.45" customHeight="1" x14ac:dyDescent="0.2">
      <c r="B26" s="144" t="s">
        <v>51</v>
      </c>
      <c r="C26" s="144"/>
      <c r="D26" s="144"/>
      <c r="E26" s="144"/>
      <c r="F26" s="144"/>
      <c r="G26" s="144"/>
      <c r="H26" s="144"/>
      <c r="I26" s="144"/>
      <c r="J26" s="42"/>
      <c r="K26" s="42"/>
      <c r="L26" s="3"/>
      <c r="M26" s="3"/>
      <c r="N26" s="3"/>
      <c r="O26" s="3"/>
      <c r="AE26" s="2">
        <f>+H40</f>
        <v>168</v>
      </c>
      <c r="AF26" s="1">
        <f>+AE26*(1-AF4)</f>
        <v>163.772892137931</v>
      </c>
      <c r="AG26" s="2"/>
    </row>
    <row r="27" spans="2:37" x14ac:dyDescent="0.2">
      <c r="B27" s="43" t="s">
        <v>32</v>
      </c>
      <c r="C27" s="43" t="s">
        <v>33</v>
      </c>
      <c r="D27" s="43" t="s">
        <v>34</v>
      </c>
      <c r="E27" s="43" t="s">
        <v>35</v>
      </c>
      <c r="F27" s="43" t="s">
        <v>52</v>
      </c>
      <c r="G27" s="43" t="s">
        <v>53</v>
      </c>
      <c r="H27" s="43" t="s">
        <v>54</v>
      </c>
      <c r="I27" s="43" t="s">
        <v>55</v>
      </c>
      <c r="J27" s="44"/>
      <c r="K27" s="44"/>
      <c r="AE27" s="1">
        <f>SUM(AE8:AE26)</f>
        <v>416.5</v>
      </c>
      <c r="AF27" s="1">
        <f>SUM(AF8:AF26)</f>
        <v>412.27289213793097</v>
      </c>
      <c r="AG27" s="2"/>
    </row>
    <row r="28" spans="2:37" ht="75.599999999999994" customHeight="1" x14ac:dyDescent="0.2">
      <c r="B28" s="16" t="s">
        <v>56</v>
      </c>
      <c r="C28" s="45" t="s">
        <v>57</v>
      </c>
      <c r="D28" s="16" t="s">
        <v>58</v>
      </c>
      <c r="E28" s="16" t="s">
        <v>59</v>
      </c>
      <c r="F28" s="16" t="s">
        <v>60</v>
      </c>
      <c r="G28" s="16" t="s">
        <v>61</v>
      </c>
      <c r="H28" s="16" t="s">
        <v>62</v>
      </c>
      <c r="I28" s="16" t="s">
        <v>63</v>
      </c>
      <c r="J28" s="46"/>
      <c r="K28" s="46"/>
      <c r="N28" s="46"/>
    </row>
    <row r="29" spans="2:37" ht="20.45" customHeight="1" x14ac:dyDescent="0.25">
      <c r="B29" s="17"/>
      <c r="C29" s="27"/>
      <c r="D29" s="16"/>
      <c r="E29" s="16"/>
      <c r="F29" s="16"/>
      <c r="G29" s="27" t="s">
        <v>64</v>
      </c>
      <c r="H29" s="27" t="s">
        <v>65</v>
      </c>
      <c r="I29" s="27" t="s">
        <v>66</v>
      </c>
      <c r="J29" s="47"/>
      <c r="K29" s="47"/>
      <c r="R29" s="48"/>
      <c r="AD29" s="117" t="s">
        <v>129</v>
      </c>
      <c r="AE29" s="117" t="s">
        <v>107</v>
      </c>
    </row>
    <row r="30" spans="2:37" ht="20.45" customHeight="1" x14ac:dyDescent="0.25">
      <c r="B30" s="33" t="s">
        <v>67</v>
      </c>
      <c r="C30" s="27"/>
      <c r="D30" s="16"/>
      <c r="E30" s="16"/>
      <c r="F30" s="16"/>
      <c r="G30" s="16"/>
      <c r="H30" s="16"/>
      <c r="I30" s="16"/>
      <c r="J30" s="47"/>
      <c r="K30" s="47"/>
      <c r="AD30" s="117">
        <v>16</v>
      </c>
      <c r="AE30" s="118">
        <f ca="1">10^(FORECAST(AD30,LOG(OFFSET(AD$8:AD$25,MATCH(AD30,AK$8:AK$25,-1)-1,0,2)),OFFSET(AK$8:AK$25,MATCH(AD30,AK$8:AK$25,-1)-1,0,2)))</f>
        <v>0.72084061464046312</v>
      </c>
    </row>
    <row r="31" spans="2:37" ht="20.45" customHeight="1" x14ac:dyDescent="0.25">
      <c r="B31" s="33" t="s">
        <v>68</v>
      </c>
      <c r="C31" s="29"/>
      <c r="D31" s="16"/>
      <c r="E31" s="16"/>
      <c r="F31" s="16"/>
      <c r="G31" s="16"/>
      <c r="H31" s="16"/>
      <c r="I31" s="49"/>
      <c r="J31" s="47"/>
      <c r="K31" s="47"/>
      <c r="AD31" s="117">
        <v>50</v>
      </c>
      <c r="AE31" s="118">
        <f t="shared" ref="AE31:AE33" ca="1" si="8">10^(FORECAST(AD31,LOG(OFFSET(AD$8:AD$25,MATCH(AD31,AK$8:AK$25,-1)-1,0,2)),OFFSET(AK$8:AK$25,MATCH(AD31,AK$8:AK$25,-1)-1,0,2)))</f>
        <v>27.489594977830251</v>
      </c>
    </row>
    <row r="32" spans="2:37" ht="20.45" customHeight="1" x14ac:dyDescent="0.25">
      <c r="B32" s="33" t="s">
        <v>69</v>
      </c>
      <c r="C32" s="29"/>
      <c r="D32" s="16"/>
      <c r="E32" s="16"/>
      <c r="F32" s="16"/>
      <c r="G32" s="16"/>
      <c r="H32" s="16"/>
      <c r="I32" s="49"/>
      <c r="J32" s="47"/>
      <c r="K32" s="47"/>
      <c r="AD32" s="117">
        <v>84</v>
      </c>
      <c r="AE32" s="118">
        <f t="shared" ca="1" si="8"/>
        <v>92.764726550474478</v>
      </c>
    </row>
    <row r="33" spans="2:31" ht="15" x14ac:dyDescent="0.25">
      <c r="B33" s="33" t="s">
        <v>70</v>
      </c>
      <c r="C33" s="29">
        <v>1.7</v>
      </c>
      <c r="D33" s="49"/>
      <c r="E33" s="49"/>
      <c r="F33" s="49">
        <v>16.2</v>
      </c>
      <c r="G33" s="49"/>
      <c r="H33" s="49">
        <f>+F33-C33</f>
        <v>14.5</v>
      </c>
      <c r="I33" s="49">
        <f>+I32+H33</f>
        <v>14.5</v>
      </c>
      <c r="J33" s="47"/>
      <c r="K33" s="47"/>
      <c r="AD33" s="117">
        <v>90</v>
      </c>
      <c r="AE33" s="118">
        <f t="shared" ca="1" si="8"/>
        <v>108.29084781748065</v>
      </c>
    </row>
    <row r="34" spans="2:31" ht="15" x14ac:dyDescent="0.25">
      <c r="B34" s="50" t="s">
        <v>71</v>
      </c>
      <c r="C34" s="29">
        <v>1.7</v>
      </c>
      <c r="D34" s="29"/>
      <c r="E34" s="29"/>
      <c r="F34" s="49">
        <v>58</v>
      </c>
      <c r="G34" s="49"/>
      <c r="H34" s="49">
        <f t="shared" ref="H34:H40" si="9">+F34-C34</f>
        <v>56.3</v>
      </c>
      <c r="I34" s="49">
        <f t="shared" ref="I34:I40" si="10">+I33+H34</f>
        <v>70.8</v>
      </c>
      <c r="J34" s="3"/>
      <c r="K34" s="3"/>
      <c r="AD34" s="119"/>
      <c r="AE34" s="119"/>
    </row>
    <row r="35" spans="2:31" ht="15" x14ac:dyDescent="0.25">
      <c r="B35" s="50" t="s">
        <v>72</v>
      </c>
      <c r="C35" s="29">
        <v>1.7</v>
      </c>
      <c r="D35" s="29"/>
      <c r="E35" s="29"/>
      <c r="F35" s="49">
        <v>41.3</v>
      </c>
      <c r="G35" s="49"/>
      <c r="H35" s="49">
        <f t="shared" si="9"/>
        <v>39.599999999999994</v>
      </c>
      <c r="I35" s="49">
        <f t="shared" si="10"/>
        <v>110.39999999999999</v>
      </c>
      <c r="J35" s="3"/>
      <c r="K35" s="3"/>
      <c r="AD35" s="117" t="s">
        <v>130</v>
      </c>
      <c r="AE35" s="118">
        <f ca="1">0.5*(AE32/AE31+AE31/AE30)</f>
        <v>20.755004339300555</v>
      </c>
    </row>
    <row r="36" spans="2:31" ht="15" x14ac:dyDescent="0.25">
      <c r="B36" s="29">
        <v>45</v>
      </c>
      <c r="C36" s="29">
        <v>1.7</v>
      </c>
      <c r="D36" s="29"/>
      <c r="E36" s="29"/>
      <c r="F36" s="49">
        <v>47.2</v>
      </c>
      <c r="G36" s="49"/>
      <c r="H36" s="49">
        <f t="shared" si="9"/>
        <v>45.5</v>
      </c>
      <c r="I36" s="49">
        <f t="shared" si="10"/>
        <v>155.89999999999998</v>
      </c>
      <c r="J36" s="3"/>
      <c r="K36" s="3"/>
      <c r="AD36" s="119" t="s">
        <v>131</v>
      </c>
      <c r="AE36" s="118">
        <f>100-AK20</f>
        <v>75.768122011108446</v>
      </c>
    </row>
    <row r="37" spans="2:31" ht="15" x14ac:dyDescent="0.25">
      <c r="B37" s="29">
        <v>32</v>
      </c>
      <c r="C37" s="29">
        <v>1.7</v>
      </c>
      <c r="D37" s="29"/>
      <c r="E37" s="29"/>
      <c r="F37" s="49">
        <v>39.6</v>
      </c>
      <c r="G37" s="49"/>
      <c r="H37" s="49">
        <f t="shared" si="9"/>
        <v>37.9</v>
      </c>
      <c r="I37" s="49">
        <f t="shared" si="10"/>
        <v>193.79999999999998</v>
      </c>
      <c r="J37" s="3"/>
      <c r="K37" s="3"/>
      <c r="AD37" s="119" t="s">
        <v>132</v>
      </c>
      <c r="AE37" s="118">
        <f>AK20-AK25</f>
        <v>22.801799943645491</v>
      </c>
    </row>
    <row r="38" spans="2:31" ht="15" x14ac:dyDescent="0.25">
      <c r="B38" s="29">
        <v>22.5</v>
      </c>
      <c r="C38" s="29">
        <v>1.7</v>
      </c>
      <c r="D38" s="29"/>
      <c r="E38" s="29"/>
      <c r="F38" s="49">
        <v>30.3</v>
      </c>
      <c r="G38" s="49"/>
      <c r="H38" s="49">
        <f t="shared" si="9"/>
        <v>28.6</v>
      </c>
      <c r="I38" s="49">
        <f t="shared" si="10"/>
        <v>222.39999999999998</v>
      </c>
      <c r="J38" s="3"/>
      <c r="K38" s="3"/>
      <c r="AD38" s="117" t="s">
        <v>133</v>
      </c>
      <c r="AE38" s="118">
        <f>AK25</f>
        <v>1.4300780452460589</v>
      </c>
    </row>
    <row r="39" spans="2:31" x14ac:dyDescent="0.2">
      <c r="B39" s="29">
        <v>16</v>
      </c>
      <c r="C39" s="29">
        <v>1.7</v>
      </c>
      <c r="D39" s="29"/>
      <c r="E39" s="29"/>
      <c r="F39" s="49">
        <v>27.8</v>
      </c>
      <c r="G39" s="49"/>
      <c r="H39" s="49">
        <f t="shared" si="9"/>
        <v>26.1</v>
      </c>
      <c r="I39" s="49">
        <f t="shared" si="10"/>
        <v>248.49999999999997</v>
      </c>
      <c r="J39" s="51"/>
      <c r="K39" s="3"/>
    </row>
    <row r="40" spans="2:31" x14ac:dyDescent="0.2">
      <c r="B40" s="33" t="s">
        <v>73</v>
      </c>
      <c r="C40" s="29">
        <v>67</v>
      </c>
      <c r="D40" s="29"/>
      <c r="E40" s="29"/>
      <c r="F40" s="49">
        <v>235</v>
      </c>
      <c r="G40" s="49"/>
      <c r="H40" s="49">
        <f t="shared" si="9"/>
        <v>168</v>
      </c>
      <c r="I40" s="49">
        <f t="shared" si="10"/>
        <v>416.5</v>
      </c>
      <c r="J40" s="3"/>
      <c r="K40" s="3"/>
    </row>
    <row r="41" spans="2:31" x14ac:dyDescent="0.2">
      <c r="B41" s="33" t="s">
        <v>49</v>
      </c>
      <c r="C41" s="29">
        <v>78.900000000000006</v>
      </c>
      <c r="D41" s="29"/>
      <c r="E41" s="17"/>
      <c r="F41" s="33">
        <v>495.4</v>
      </c>
      <c r="G41" s="17"/>
      <c r="H41" s="29">
        <f>SUM(H31:H40)</f>
        <v>416.5</v>
      </c>
      <c r="I41" s="52"/>
      <c r="J41" s="3"/>
      <c r="K41" s="3"/>
    </row>
    <row r="42" spans="2:31" ht="28.5" x14ac:dyDescent="0.2">
      <c r="B42" s="53" t="s">
        <v>74</v>
      </c>
      <c r="C42" s="54">
        <v>1.7</v>
      </c>
      <c r="D42" s="54">
        <v>19.100000000000001</v>
      </c>
      <c r="E42" s="55"/>
      <c r="F42" s="56"/>
      <c r="G42" s="57"/>
      <c r="H42" s="58">
        <f>D42-C42</f>
        <v>17.400000000000002</v>
      </c>
      <c r="I42" s="59"/>
      <c r="J42" s="3"/>
      <c r="K42" s="3"/>
    </row>
    <row r="43" spans="2:31" x14ac:dyDescent="0.2">
      <c r="B43" s="60" t="s">
        <v>75</v>
      </c>
      <c r="J43" s="3"/>
      <c r="K43" s="3"/>
    </row>
    <row r="44" spans="2:31" x14ac:dyDescent="0.2">
      <c r="B44" s="60"/>
      <c r="J44" s="3"/>
      <c r="K44" s="3"/>
    </row>
    <row r="45" spans="2:31" ht="15.75" x14ac:dyDescent="0.25">
      <c r="B45" s="145" t="s">
        <v>76</v>
      </c>
      <c r="C45" s="145"/>
      <c r="D45" s="145"/>
      <c r="E45" s="61" t="s">
        <v>77</v>
      </c>
      <c r="F45" s="30"/>
      <c r="G45" s="62" t="s">
        <v>78</v>
      </c>
      <c r="H45" s="63">
        <f>+(E24-H41)/E24</f>
        <v>2.8728752693320293E-3</v>
      </c>
      <c r="I45" s="61"/>
      <c r="J45" s="3"/>
      <c r="K45" s="3"/>
      <c r="R45" s="64"/>
    </row>
    <row r="46" spans="2:31" x14ac:dyDescent="0.2">
      <c r="B46" s="146" t="s">
        <v>79</v>
      </c>
      <c r="C46" s="146"/>
      <c r="D46" s="146"/>
      <c r="E46" s="62">
        <v>417.7</v>
      </c>
    </row>
    <row r="47" spans="2:31" x14ac:dyDescent="0.2">
      <c r="B47" s="38"/>
      <c r="C47" s="38"/>
      <c r="D47" s="38"/>
    </row>
    <row r="48" spans="2:31" x14ac:dyDescent="0.2">
      <c r="B48" s="147" t="s">
        <v>80</v>
      </c>
      <c r="C48" s="147"/>
      <c r="D48" s="147"/>
      <c r="E48" s="147"/>
      <c r="F48" s="147"/>
      <c r="G48" s="147"/>
      <c r="H48" s="147"/>
      <c r="I48" s="147"/>
      <c r="J48" s="147"/>
      <c r="K48" s="65"/>
    </row>
    <row r="49" spans="2:11" x14ac:dyDescent="0.2">
      <c r="B49" s="147"/>
      <c r="C49" s="147"/>
      <c r="D49" s="147"/>
      <c r="E49" s="147"/>
      <c r="F49" s="147"/>
      <c r="G49" s="147"/>
      <c r="H49" s="147"/>
      <c r="I49" s="147"/>
      <c r="J49" s="147"/>
      <c r="K49" s="65"/>
    </row>
    <row r="50" spans="2:11" x14ac:dyDescent="0.2">
      <c r="B50" s="4" t="s">
        <v>81</v>
      </c>
      <c r="C50" s="4" t="s">
        <v>82</v>
      </c>
      <c r="F50" s="1" t="s">
        <v>83</v>
      </c>
      <c r="G50" s="66"/>
      <c r="H50" s="67">
        <v>976</v>
      </c>
      <c r="J50" s="23" t="s">
        <v>84</v>
      </c>
      <c r="K50" s="23" t="s">
        <v>85</v>
      </c>
    </row>
    <row r="51" spans="2:11" x14ac:dyDescent="0.2">
      <c r="K51" s="34"/>
    </row>
    <row r="52" spans="2:11" x14ac:dyDescent="0.2">
      <c r="K52" s="34"/>
    </row>
    <row r="53" spans="2:11" x14ac:dyDescent="0.2">
      <c r="K53" s="34"/>
    </row>
    <row r="54" spans="2:11" x14ac:dyDescent="0.2">
      <c r="K54" s="34"/>
    </row>
    <row r="55" spans="2:11" x14ac:dyDescent="0.2">
      <c r="B55" s="3"/>
      <c r="C55" s="3"/>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A13" workbookViewId="0">
      <selection activeCell="C50" sqref="C50"/>
    </sheetView>
  </sheetViews>
  <sheetFormatPr defaultColWidth="8.85546875" defaultRowHeight="14.25" x14ac:dyDescent="0.2"/>
  <cols>
    <col min="1" max="1" width="8.85546875" style="1"/>
    <col min="2" max="2" width="6.7109375" style="1" customWidth="1"/>
    <col min="3" max="3" width="9.7109375" style="1" customWidth="1"/>
    <col min="4" max="4" width="10.85546875" style="1" customWidth="1"/>
    <col min="5" max="6" width="9.7109375" style="1" customWidth="1"/>
    <col min="7" max="7" width="6.7109375" style="1" customWidth="1"/>
    <col min="8" max="8" width="6.7109375" style="73"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9"/>
      <c r="I1" s="1"/>
      <c r="J1" s="1"/>
      <c r="K1" s="1"/>
      <c r="L1" s="1"/>
      <c r="M1" s="1"/>
      <c r="N1" s="1"/>
      <c r="O1" s="1"/>
      <c r="P1" s="1"/>
      <c r="Q1" s="1"/>
      <c r="R1" s="1"/>
      <c r="S1" s="1"/>
      <c r="T1" s="1"/>
      <c r="AA1" s="1"/>
      <c r="AB1" s="1"/>
      <c r="AC1" s="1"/>
      <c r="AD1" s="1"/>
      <c r="AE1" s="1"/>
    </row>
    <row r="2" spans="2:33" ht="23.25" x14ac:dyDescent="0.35">
      <c r="B2" s="134" t="s">
        <v>86</v>
      </c>
      <c r="C2" s="134"/>
      <c r="D2" s="134"/>
      <c r="E2" s="134"/>
      <c r="F2" s="134"/>
      <c r="G2" s="134"/>
      <c r="H2" s="134"/>
      <c r="I2" s="134"/>
      <c r="J2" s="134"/>
      <c r="K2" s="134"/>
      <c r="L2" s="134"/>
      <c r="M2" s="134"/>
      <c r="N2" s="134"/>
      <c r="O2" s="134"/>
      <c r="P2" s="134"/>
      <c r="Q2" s="134"/>
      <c r="R2" s="134"/>
      <c r="S2" s="134"/>
      <c r="T2" s="134"/>
      <c r="U2" s="134"/>
      <c r="V2" s="134"/>
      <c r="X2" s="134" t="s">
        <v>86</v>
      </c>
      <c r="Y2" s="134"/>
      <c r="Z2" s="134"/>
      <c r="AA2" s="134"/>
      <c r="AB2" s="134"/>
      <c r="AC2" s="134"/>
      <c r="AD2" s="134"/>
      <c r="AE2" s="134"/>
      <c r="AF2" s="70"/>
    </row>
    <row r="3" spans="2:33" ht="23.25" x14ac:dyDescent="0.35">
      <c r="B3" s="71"/>
      <c r="C3" s="71"/>
      <c r="D3" s="71"/>
      <c r="E3" s="71"/>
      <c r="F3" s="71"/>
      <c r="G3" s="71"/>
      <c r="H3" s="72"/>
      <c r="I3" s="71"/>
      <c r="J3" s="71"/>
      <c r="K3" s="71"/>
      <c r="L3" s="71"/>
      <c r="M3" s="71"/>
      <c r="N3" s="71"/>
      <c r="O3" s="71"/>
      <c r="P3" s="71"/>
      <c r="Q3" s="71"/>
      <c r="R3" s="71"/>
      <c r="S3" s="71"/>
      <c r="T3" s="71"/>
      <c r="U3" s="70"/>
      <c r="X3" s="71"/>
      <c r="Y3" s="71"/>
      <c r="Z3" s="71"/>
      <c r="AA3" s="71"/>
      <c r="AB3" s="71"/>
      <c r="AC3" s="71"/>
      <c r="AD3" s="71"/>
      <c r="AE3" s="71"/>
      <c r="AF3" s="70"/>
    </row>
    <row r="4" spans="2:33" x14ac:dyDescent="0.2">
      <c r="B4" s="4" t="s">
        <v>87</v>
      </c>
      <c r="C4" s="4"/>
      <c r="D4" s="4" t="s">
        <v>88</v>
      </c>
      <c r="E4" s="4"/>
      <c r="F4" s="4"/>
      <c r="G4" s="4"/>
      <c r="J4" s="1"/>
      <c r="K4" s="4" t="s">
        <v>89</v>
      </c>
      <c r="L4" s="4" t="s">
        <v>90</v>
      </c>
      <c r="M4" s="4"/>
      <c r="N4" s="4"/>
      <c r="O4" s="4"/>
      <c r="P4" s="4"/>
      <c r="Q4" s="4"/>
      <c r="R4" s="4"/>
      <c r="S4" s="4"/>
      <c r="T4" s="4"/>
      <c r="X4" s="3" t="s">
        <v>87</v>
      </c>
      <c r="Y4" s="4" t="s">
        <v>91</v>
      </c>
      <c r="Z4" s="4"/>
      <c r="AA4" s="1" t="s">
        <v>6</v>
      </c>
      <c r="AB4" s="4" t="s">
        <v>90</v>
      </c>
      <c r="AC4" s="4"/>
      <c r="AD4" s="4"/>
    </row>
    <row r="5" spans="2:33" x14ac:dyDescent="0.2">
      <c r="B5" s="10" t="s">
        <v>92</v>
      </c>
      <c r="C5" s="10"/>
      <c r="D5" s="10" t="s">
        <v>93</v>
      </c>
      <c r="E5" s="10"/>
      <c r="F5" s="10"/>
      <c r="G5" s="10"/>
      <c r="J5" s="1"/>
      <c r="K5" s="10" t="s">
        <v>94</v>
      </c>
      <c r="L5" s="10">
        <v>145.69999999999999</v>
      </c>
      <c r="M5" s="10"/>
      <c r="N5" s="10"/>
      <c r="O5" s="10"/>
      <c r="P5" s="10"/>
      <c r="Q5" s="10"/>
      <c r="R5" s="10"/>
      <c r="S5" s="10"/>
      <c r="T5" s="10"/>
      <c r="X5" s="3" t="s">
        <v>92</v>
      </c>
      <c r="Y5" s="10" t="s">
        <v>95</v>
      </c>
      <c r="Z5" s="10"/>
      <c r="AA5" s="1" t="s">
        <v>96</v>
      </c>
      <c r="AB5" s="10">
        <v>145.69999999999999</v>
      </c>
      <c r="AC5" s="10"/>
      <c r="AD5" s="10"/>
    </row>
    <row r="6" spans="2:33" x14ac:dyDescent="0.2">
      <c r="B6" s="10" t="s">
        <v>10</v>
      </c>
      <c r="C6" s="10"/>
      <c r="D6" s="8">
        <v>41503</v>
      </c>
      <c r="E6" s="74">
        <v>0.39583333333333331</v>
      </c>
      <c r="F6" s="10"/>
      <c r="G6" s="10"/>
      <c r="J6" s="1"/>
      <c r="K6" s="10" t="s">
        <v>97</v>
      </c>
      <c r="L6" s="10"/>
      <c r="M6" s="10" t="s">
        <v>98</v>
      </c>
      <c r="N6" s="10"/>
      <c r="O6" s="10"/>
      <c r="P6" s="10"/>
      <c r="Q6" s="10"/>
      <c r="R6" s="10"/>
      <c r="S6" s="10"/>
      <c r="T6" s="10"/>
      <c r="U6" s="10"/>
      <c r="V6" s="10"/>
      <c r="X6" s="3" t="s">
        <v>10</v>
      </c>
      <c r="Y6" s="8">
        <v>41503</v>
      </c>
      <c r="Z6" s="74">
        <v>0.39583333333333331</v>
      </c>
      <c r="AA6" s="3" t="s">
        <v>13</v>
      </c>
      <c r="AB6" s="10"/>
      <c r="AC6" s="10"/>
      <c r="AD6" s="21"/>
    </row>
    <row r="7" spans="2:33" x14ac:dyDescent="0.2">
      <c r="B7" s="10" t="s">
        <v>13</v>
      </c>
      <c r="C7" s="10"/>
      <c r="D7" s="10"/>
      <c r="E7" s="10"/>
      <c r="F7" s="10"/>
      <c r="G7" s="10"/>
      <c r="J7" s="11"/>
      <c r="K7" s="75" t="s">
        <v>99</v>
      </c>
      <c r="L7" s="75"/>
      <c r="M7" s="76" t="s">
        <v>100</v>
      </c>
      <c r="N7" s="13"/>
      <c r="O7" s="13"/>
      <c r="P7" s="13"/>
      <c r="Q7" s="10"/>
      <c r="R7" s="10"/>
      <c r="S7" s="10"/>
      <c r="T7" s="10"/>
      <c r="U7" s="10"/>
      <c r="V7" s="10"/>
      <c r="X7" s="3"/>
      <c r="Y7" s="3"/>
      <c r="Z7" s="3"/>
      <c r="AA7" s="3" t="s">
        <v>29</v>
      </c>
      <c r="AB7" s="10" t="s">
        <v>30</v>
      </c>
      <c r="AC7" s="10"/>
      <c r="AD7" s="37"/>
    </row>
    <row r="8" spans="2:33" x14ac:dyDescent="0.2">
      <c r="B8" s="10" t="s">
        <v>29</v>
      </c>
      <c r="C8" s="10"/>
      <c r="D8" s="10" t="s">
        <v>30</v>
      </c>
      <c r="E8" s="10"/>
      <c r="F8" s="10"/>
      <c r="G8" s="10"/>
      <c r="K8" s="10"/>
      <c r="L8" s="10"/>
      <c r="M8" s="10"/>
      <c r="N8" s="10"/>
      <c r="O8" s="10"/>
      <c r="P8" s="10"/>
      <c r="Q8" s="10"/>
      <c r="R8" s="10"/>
      <c r="S8" s="10"/>
      <c r="T8" s="10"/>
      <c r="U8" s="10"/>
      <c r="V8" s="10"/>
      <c r="X8" s="3" t="s">
        <v>101</v>
      </c>
      <c r="Y8" s="3"/>
      <c r="Z8" s="3"/>
      <c r="AA8" s="77"/>
      <c r="AB8" s="37"/>
      <c r="AC8" s="37"/>
      <c r="AD8" s="37"/>
    </row>
    <row r="9" spans="2:33" x14ac:dyDescent="0.2">
      <c r="B9" s="10" t="s">
        <v>102</v>
      </c>
      <c r="C9" s="10"/>
      <c r="D9" s="10" t="s">
        <v>103</v>
      </c>
      <c r="E9" s="10"/>
      <c r="F9" s="10"/>
      <c r="G9" s="10"/>
      <c r="H9" s="69"/>
      <c r="I9" s="1"/>
      <c r="J9" s="1"/>
      <c r="K9" s="10"/>
      <c r="L9" s="10"/>
      <c r="M9" s="10" t="s">
        <v>104</v>
      </c>
      <c r="N9" s="10"/>
      <c r="O9" s="10"/>
      <c r="P9" s="10"/>
      <c r="Q9" s="10"/>
      <c r="R9" s="10"/>
      <c r="S9" s="10"/>
      <c r="T9" s="10"/>
      <c r="U9" s="10"/>
      <c r="V9" s="10"/>
      <c r="X9" s="4" t="s">
        <v>105</v>
      </c>
      <c r="Y9" s="4"/>
      <c r="Z9" s="4"/>
      <c r="AA9" s="78"/>
      <c r="AB9" s="5"/>
      <c r="AC9" s="5"/>
      <c r="AD9" s="5"/>
      <c r="AE9" s="4"/>
      <c r="AF9" s="4"/>
    </row>
    <row r="10" spans="2:33" s="3" customFormat="1" ht="15.75" x14ac:dyDescent="0.25">
      <c r="B10" s="79"/>
      <c r="C10" s="148"/>
      <c r="D10" s="148"/>
      <c r="E10" s="148"/>
      <c r="F10" s="148"/>
      <c r="G10" s="148"/>
      <c r="H10" s="148"/>
      <c r="I10" s="80"/>
      <c r="J10" s="80"/>
      <c r="K10" s="80"/>
      <c r="L10" s="80"/>
      <c r="N10" s="79"/>
      <c r="X10" s="10" t="s">
        <v>106</v>
      </c>
      <c r="Y10" s="10"/>
      <c r="Z10" s="10"/>
      <c r="AA10" s="75"/>
      <c r="AB10" s="13"/>
      <c r="AC10" s="13"/>
      <c r="AD10" s="13"/>
      <c r="AE10" s="10"/>
      <c r="AF10" s="10"/>
      <c r="AG10" s="1"/>
    </row>
    <row r="11" spans="2:33" s="3" customFormat="1" ht="31.9" thickBot="1" x14ac:dyDescent="0.3">
      <c r="B11" s="81" t="s">
        <v>107</v>
      </c>
      <c r="C11" s="149" t="s">
        <v>108</v>
      </c>
      <c r="D11" s="149"/>
      <c r="E11" s="149"/>
      <c r="F11" s="149"/>
      <c r="G11" s="82" t="s">
        <v>109</v>
      </c>
      <c r="H11" s="82" t="s">
        <v>110</v>
      </c>
      <c r="I11" s="81" t="s">
        <v>107</v>
      </c>
      <c r="J11" s="149" t="s">
        <v>111</v>
      </c>
      <c r="K11" s="149"/>
      <c r="L11" s="149"/>
      <c r="M11" s="149"/>
      <c r="N11" s="82" t="s">
        <v>109</v>
      </c>
      <c r="O11" s="82" t="s">
        <v>110</v>
      </c>
      <c r="P11" s="81" t="s">
        <v>107</v>
      </c>
      <c r="Q11" s="149" t="s">
        <v>112</v>
      </c>
      <c r="R11" s="149"/>
      <c r="S11" s="149"/>
      <c r="T11" s="149"/>
      <c r="U11" s="82" t="s">
        <v>109</v>
      </c>
      <c r="V11" s="82" t="s">
        <v>110</v>
      </c>
      <c r="W11" s="83" t="s">
        <v>113</v>
      </c>
      <c r="X11" s="10"/>
      <c r="Y11" s="10"/>
      <c r="Z11" s="10"/>
      <c r="AA11" s="75"/>
      <c r="AB11" s="13"/>
      <c r="AC11" s="13"/>
      <c r="AD11" s="13"/>
      <c r="AE11" s="10"/>
      <c r="AF11" s="10"/>
      <c r="AG11" s="1"/>
    </row>
    <row r="12" spans="2:33" s="86" customFormat="1" ht="14.25" customHeight="1" x14ac:dyDescent="0.25">
      <c r="B12" s="121" t="s">
        <v>114</v>
      </c>
      <c r="C12" s="150"/>
      <c r="D12" s="150"/>
      <c r="E12" s="150"/>
      <c r="F12" s="150"/>
      <c r="G12" s="87"/>
      <c r="H12" s="122"/>
      <c r="I12" s="121" t="s">
        <v>114</v>
      </c>
      <c r="J12" s="150"/>
      <c r="K12" s="150"/>
      <c r="L12" s="150"/>
      <c r="M12" s="150"/>
      <c r="N12" s="84">
        <v>5</v>
      </c>
      <c r="O12" s="122">
        <f>+N12</f>
        <v>5</v>
      </c>
      <c r="P12" s="121" t="s">
        <v>114</v>
      </c>
      <c r="Q12" s="150"/>
      <c r="R12" s="150"/>
      <c r="S12" s="150"/>
      <c r="T12" s="150"/>
      <c r="U12" s="87"/>
      <c r="V12" s="122"/>
      <c r="W12" s="123">
        <f>AVERAGE(V12,O12,H12)</f>
        <v>5</v>
      </c>
      <c r="X12" s="10"/>
      <c r="Y12" s="10"/>
      <c r="Z12" s="10"/>
      <c r="AA12" s="75"/>
      <c r="AB12" s="13"/>
      <c r="AC12" s="13"/>
      <c r="AD12" s="13"/>
      <c r="AE12" s="10"/>
      <c r="AF12" s="10"/>
      <c r="AG12" s="1"/>
    </row>
    <row r="13" spans="2:33" s="86" customFormat="1" ht="14.25" customHeight="1" x14ac:dyDescent="0.25">
      <c r="B13" s="121">
        <v>2</v>
      </c>
      <c r="C13" s="150"/>
      <c r="D13" s="150"/>
      <c r="E13" s="150"/>
      <c r="F13" s="150"/>
      <c r="G13" s="87"/>
      <c r="H13" s="122"/>
      <c r="I13" s="121">
        <v>2</v>
      </c>
      <c r="J13" s="150"/>
      <c r="K13" s="150"/>
      <c r="L13" s="150"/>
      <c r="M13" s="150"/>
      <c r="N13" s="88"/>
      <c r="O13" s="122">
        <v>0</v>
      </c>
      <c r="P13" s="121">
        <v>2</v>
      </c>
      <c r="Q13" s="150"/>
      <c r="R13" s="150"/>
      <c r="S13" s="150"/>
      <c r="T13" s="150"/>
      <c r="U13" s="87"/>
      <c r="V13" s="122"/>
      <c r="W13" s="123">
        <f>AVERAGE(V13,O13,H13)</f>
        <v>0</v>
      </c>
      <c r="X13" s="10"/>
      <c r="Y13" s="10"/>
      <c r="Z13" s="10"/>
      <c r="AA13" s="75"/>
      <c r="AB13" s="13"/>
      <c r="AC13" s="13"/>
      <c r="AD13" s="13"/>
      <c r="AE13" s="10"/>
      <c r="AF13" s="10"/>
      <c r="AG13" s="1"/>
    </row>
    <row r="14" spans="2:33" s="86" customFormat="1" ht="14.25" customHeight="1" x14ac:dyDescent="0.25">
      <c r="B14" s="124">
        <v>2.8</v>
      </c>
      <c r="C14" s="150"/>
      <c r="D14" s="150"/>
      <c r="E14" s="150"/>
      <c r="F14" s="150"/>
      <c r="G14" s="87"/>
      <c r="H14" s="122"/>
      <c r="I14" s="124">
        <v>2.8</v>
      </c>
      <c r="J14" s="150"/>
      <c r="K14" s="150"/>
      <c r="L14" s="150"/>
      <c r="M14" s="150"/>
      <c r="N14" s="88">
        <v>1</v>
      </c>
      <c r="O14" s="122">
        <f>100*N13/SUM(N$13:N$28)</f>
        <v>0</v>
      </c>
      <c r="P14" s="124">
        <v>2.8</v>
      </c>
      <c r="Q14" s="150"/>
      <c r="R14" s="150"/>
      <c r="S14" s="150"/>
      <c r="T14" s="150"/>
      <c r="U14" s="87"/>
      <c r="V14" s="122"/>
      <c r="W14" s="123">
        <f t="shared" ref="W14:W28" si="0">AVERAGE(V14,O14,H14)</f>
        <v>0</v>
      </c>
      <c r="X14" s="10"/>
      <c r="Y14" s="10"/>
      <c r="Z14" s="10"/>
      <c r="AA14" s="75"/>
      <c r="AB14" s="13"/>
      <c r="AC14" s="13"/>
      <c r="AD14" s="13"/>
      <c r="AE14" s="10"/>
      <c r="AF14" s="10"/>
      <c r="AG14" s="1"/>
    </row>
    <row r="15" spans="2:33" s="86" customFormat="1" ht="14.25" customHeight="1" x14ac:dyDescent="0.25">
      <c r="B15" s="121">
        <v>4</v>
      </c>
      <c r="C15" s="150"/>
      <c r="D15" s="150"/>
      <c r="E15" s="150"/>
      <c r="F15" s="150"/>
      <c r="G15" s="87"/>
      <c r="H15" s="122"/>
      <c r="I15" s="121">
        <v>4</v>
      </c>
      <c r="J15" s="150"/>
      <c r="K15" s="150"/>
      <c r="L15" s="150"/>
      <c r="M15" s="150"/>
      <c r="N15" s="88"/>
      <c r="O15" s="122">
        <f>100*N14/SUM(N$13:N$28)+O14</f>
        <v>1</v>
      </c>
      <c r="P15" s="121">
        <v>4</v>
      </c>
      <c r="Q15" s="150"/>
      <c r="R15" s="150"/>
      <c r="S15" s="150"/>
      <c r="T15" s="150"/>
      <c r="U15" s="87"/>
      <c r="V15" s="122"/>
      <c r="W15" s="123">
        <f t="shared" si="0"/>
        <v>1</v>
      </c>
      <c r="X15" s="10"/>
      <c r="Y15" s="10"/>
      <c r="Z15" s="10"/>
      <c r="AA15" s="75"/>
      <c r="AB15" s="10"/>
      <c r="AC15" s="10"/>
      <c r="AD15" s="10"/>
      <c r="AE15" s="10"/>
      <c r="AF15" s="10"/>
      <c r="AG15" s="1"/>
    </row>
    <row r="16" spans="2:33" s="86" customFormat="1" ht="18" customHeight="1" x14ac:dyDescent="0.3">
      <c r="B16" s="121">
        <v>5.6</v>
      </c>
      <c r="C16" s="150"/>
      <c r="D16" s="150"/>
      <c r="E16" s="150"/>
      <c r="F16" s="150"/>
      <c r="G16" s="87"/>
      <c r="H16" s="122"/>
      <c r="I16" s="121">
        <v>5.6</v>
      </c>
      <c r="J16" s="150"/>
      <c r="K16" s="150"/>
      <c r="L16" s="150"/>
      <c r="M16" s="150"/>
      <c r="N16" s="88">
        <v>1</v>
      </c>
      <c r="O16" s="122">
        <f t="shared" ref="O16:O28" si="1">100*N15/SUM(N$13:N$28)+O15</f>
        <v>1</v>
      </c>
      <c r="P16" s="121">
        <v>5.6</v>
      </c>
      <c r="Q16" s="150"/>
      <c r="R16" s="150"/>
      <c r="S16" s="150"/>
      <c r="T16" s="150"/>
      <c r="U16" s="87"/>
      <c r="V16" s="122"/>
      <c r="W16" s="123">
        <f t="shared" si="0"/>
        <v>1</v>
      </c>
      <c r="X16" s="89" t="s">
        <v>44</v>
      </c>
      <c r="Y16" s="90"/>
      <c r="Z16" s="90"/>
      <c r="AA16" s="91"/>
      <c r="AB16" s="92"/>
      <c r="AC16" s="92"/>
      <c r="AD16" s="92"/>
      <c r="AE16" s="92"/>
      <c r="AF16" s="92"/>
      <c r="AG16" s="1"/>
    </row>
    <row r="17" spans="2:33" s="86" customFormat="1" ht="14.25" customHeight="1" x14ac:dyDescent="0.25">
      <c r="B17" s="121">
        <v>8</v>
      </c>
      <c r="C17" s="150"/>
      <c r="D17" s="150"/>
      <c r="E17" s="150"/>
      <c r="F17" s="150"/>
      <c r="G17" s="87"/>
      <c r="H17" s="122"/>
      <c r="I17" s="121">
        <v>8</v>
      </c>
      <c r="J17" s="150"/>
      <c r="K17" s="150"/>
      <c r="L17" s="150"/>
      <c r="M17" s="150"/>
      <c r="N17" s="88">
        <v>1</v>
      </c>
      <c r="O17" s="122">
        <f t="shared" si="1"/>
        <v>2</v>
      </c>
      <c r="P17" s="121">
        <v>8</v>
      </c>
      <c r="Q17" s="150"/>
      <c r="R17" s="150"/>
      <c r="S17" s="150"/>
      <c r="T17" s="150"/>
      <c r="U17" s="87"/>
      <c r="V17" s="122"/>
      <c r="W17" s="123">
        <f t="shared" si="0"/>
        <v>2</v>
      </c>
      <c r="X17" s="92" t="s">
        <v>115</v>
      </c>
      <c r="Y17" s="154" t="s">
        <v>47</v>
      </c>
      <c r="Z17" s="154"/>
      <c r="AA17" s="154"/>
      <c r="AB17" s="154"/>
      <c r="AC17" s="154"/>
      <c r="AD17" s="154"/>
      <c r="AE17" s="154"/>
      <c r="AF17" s="154"/>
      <c r="AG17" s="3"/>
    </row>
    <row r="18" spans="2:33" s="86" customFormat="1" ht="14.25" customHeight="1" x14ac:dyDescent="0.25">
      <c r="B18" s="121">
        <v>11</v>
      </c>
      <c r="C18" s="150"/>
      <c r="D18" s="150"/>
      <c r="E18" s="150"/>
      <c r="F18" s="150"/>
      <c r="G18" s="87"/>
      <c r="H18" s="122"/>
      <c r="I18" s="121">
        <v>11</v>
      </c>
      <c r="J18" s="150"/>
      <c r="K18" s="150"/>
      <c r="L18" s="150"/>
      <c r="M18" s="150"/>
      <c r="N18" s="88">
        <v>1</v>
      </c>
      <c r="O18" s="122">
        <f t="shared" si="1"/>
        <v>3</v>
      </c>
      <c r="P18" s="121">
        <v>11</v>
      </c>
      <c r="Q18" s="150"/>
      <c r="R18" s="150"/>
      <c r="S18" s="150"/>
      <c r="T18" s="150"/>
      <c r="U18" s="87"/>
      <c r="V18" s="122"/>
      <c r="W18" s="123">
        <f t="shared" si="0"/>
        <v>3</v>
      </c>
      <c r="X18" s="93">
        <v>962</v>
      </c>
      <c r="Y18" s="151" t="s">
        <v>116</v>
      </c>
      <c r="Z18" s="152"/>
      <c r="AA18" s="152"/>
      <c r="AB18" s="152"/>
      <c r="AC18" s="152"/>
      <c r="AD18" s="152"/>
      <c r="AE18" s="152"/>
      <c r="AF18" s="153"/>
    </row>
    <row r="19" spans="2:33" s="86" customFormat="1" ht="14.25" customHeight="1" x14ac:dyDescent="0.25">
      <c r="B19" s="121">
        <v>16</v>
      </c>
      <c r="C19" s="150"/>
      <c r="D19" s="150"/>
      <c r="E19" s="150"/>
      <c r="F19" s="150"/>
      <c r="G19" s="87"/>
      <c r="H19" s="122"/>
      <c r="I19" s="121">
        <v>16</v>
      </c>
      <c r="J19" s="150"/>
      <c r="K19" s="150"/>
      <c r="L19" s="150"/>
      <c r="M19" s="150"/>
      <c r="N19" s="88">
        <v>2</v>
      </c>
      <c r="O19" s="122">
        <f t="shared" si="1"/>
        <v>4</v>
      </c>
      <c r="P19" s="121">
        <v>16</v>
      </c>
      <c r="Q19" s="150"/>
      <c r="R19" s="150"/>
      <c r="S19" s="150"/>
      <c r="T19" s="150"/>
      <c r="U19" s="87"/>
      <c r="V19" s="122"/>
      <c r="W19" s="123">
        <f t="shared" si="0"/>
        <v>4</v>
      </c>
      <c r="X19" s="93">
        <v>963</v>
      </c>
      <c r="Y19" s="151" t="s">
        <v>117</v>
      </c>
      <c r="Z19" s="152"/>
      <c r="AA19" s="152"/>
      <c r="AB19" s="152"/>
      <c r="AC19" s="152"/>
      <c r="AD19" s="152"/>
      <c r="AE19" s="152"/>
      <c r="AF19" s="153"/>
    </row>
    <row r="20" spans="2:33" s="86" customFormat="1" ht="14.25" customHeight="1" x14ac:dyDescent="0.25">
      <c r="B20" s="121">
        <v>22.5</v>
      </c>
      <c r="C20" s="150"/>
      <c r="D20" s="150"/>
      <c r="E20" s="150"/>
      <c r="F20" s="150"/>
      <c r="G20" s="87"/>
      <c r="H20" s="122"/>
      <c r="I20" s="121">
        <v>22.5</v>
      </c>
      <c r="J20" s="150"/>
      <c r="K20" s="150"/>
      <c r="L20" s="150"/>
      <c r="M20" s="150"/>
      <c r="N20" s="88">
        <v>7</v>
      </c>
      <c r="O20" s="122">
        <f t="shared" si="1"/>
        <v>6</v>
      </c>
      <c r="P20" s="121">
        <v>22.5</v>
      </c>
      <c r="Q20" s="150"/>
      <c r="R20" s="150"/>
      <c r="S20" s="150"/>
      <c r="T20" s="150"/>
      <c r="U20" s="87"/>
      <c r="V20" s="122"/>
      <c r="W20" s="123">
        <f t="shared" si="0"/>
        <v>6</v>
      </c>
      <c r="X20" s="85">
        <v>964</v>
      </c>
      <c r="Y20" s="151" t="s">
        <v>118</v>
      </c>
      <c r="Z20" s="152"/>
      <c r="AA20" s="152"/>
      <c r="AB20" s="152"/>
      <c r="AC20" s="152"/>
      <c r="AD20" s="152"/>
      <c r="AE20" s="152"/>
      <c r="AF20" s="153"/>
    </row>
    <row r="21" spans="2:33" s="86" customFormat="1" ht="14.25" customHeight="1" x14ac:dyDescent="0.25">
      <c r="B21" s="121">
        <v>32</v>
      </c>
      <c r="C21" s="150"/>
      <c r="D21" s="150"/>
      <c r="E21" s="150"/>
      <c r="F21" s="150"/>
      <c r="G21" s="87"/>
      <c r="H21" s="122"/>
      <c r="I21" s="121">
        <v>32</v>
      </c>
      <c r="J21" s="150"/>
      <c r="K21" s="150"/>
      <c r="L21" s="150"/>
      <c r="M21" s="150"/>
      <c r="N21" s="88">
        <v>7</v>
      </c>
      <c r="O21" s="122">
        <f t="shared" si="1"/>
        <v>13</v>
      </c>
      <c r="P21" s="121">
        <v>32</v>
      </c>
      <c r="Q21" s="150"/>
      <c r="R21" s="150"/>
      <c r="S21" s="150"/>
      <c r="T21" s="150"/>
      <c r="U21" s="87"/>
      <c r="V21" s="122"/>
      <c r="W21" s="123">
        <f t="shared" si="0"/>
        <v>13</v>
      </c>
      <c r="X21" s="85">
        <v>965</v>
      </c>
      <c r="Y21" s="151" t="s">
        <v>119</v>
      </c>
      <c r="Z21" s="152"/>
      <c r="AA21" s="152"/>
      <c r="AB21" s="152"/>
      <c r="AC21" s="152"/>
      <c r="AD21" s="152"/>
      <c r="AE21" s="152"/>
      <c r="AF21" s="153"/>
    </row>
    <row r="22" spans="2:33" s="86" customFormat="1" ht="14.25" customHeight="1" x14ac:dyDescent="0.25">
      <c r="B22" s="121">
        <v>45</v>
      </c>
      <c r="C22" s="150"/>
      <c r="D22" s="150"/>
      <c r="E22" s="150"/>
      <c r="F22" s="150"/>
      <c r="G22" s="87"/>
      <c r="H22" s="122"/>
      <c r="I22" s="121">
        <v>45</v>
      </c>
      <c r="J22" s="150"/>
      <c r="K22" s="150"/>
      <c r="L22" s="150"/>
      <c r="M22" s="150"/>
      <c r="N22" s="94">
        <v>13</v>
      </c>
      <c r="O22" s="122">
        <f t="shared" si="1"/>
        <v>20</v>
      </c>
      <c r="P22" s="121">
        <v>45</v>
      </c>
      <c r="Q22" s="150"/>
      <c r="R22" s="150"/>
      <c r="S22" s="150"/>
      <c r="T22" s="150"/>
      <c r="U22" s="87"/>
      <c r="V22" s="122"/>
      <c r="W22" s="123">
        <f t="shared" si="0"/>
        <v>20</v>
      </c>
      <c r="X22" s="85">
        <v>966</v>
      </c>
      <c r="Y22" s="151" t="s">
        <v>120</v>
      </c>
      <c r="Z22" s="152"/>
      <c r="AA22" s="152"/>
      <c r="AB22" s="152"/>
      <c r="AC22" s="152"/>
      <c r="AD22" s="152"/>
      <c r="AE22" s="152"/>
      <c r="AF22" s="153"/>
    </row>
    <row r="23" spans="2:33" s="86" customFormat="1" ht="14.25" customHeight="1" x14ac:dyDescent="0.25">
      <c r="B23" s="125">
        <v>64</v>
      </c>
      <c r="C23" s="150"/>
      <c r="D23" s="150"/>
      <c r="E23" s="150"/>
      <c r="F23" s="150"/>
      <c r="G23" s="87"/>
      <c r="H23" s="122"/>
      <c r="I23" s="125">
        <v>64</v>
      </c>
      <c r="J23" s="150"/>
      <c r="K23" s="150"/>
      <c r="L23" s="150"/>
      <c r="M23" s="150"/>
      <c r="N23" s="95">
        <v>17</v>
      </c>
      <c r="O23" s="122">
        <f t="shared" si="1"/>
        <v>33</v>
      </c>
      <c r="P23" s="125">
        <v>64</v>
      </c>
      <c r="Q23" s="150"/>
      <c r="R23" s="150"/>
      <c r="S23" s="150"/>
      <c r="T23" s="150"/>
      <c r="U23" s="87"/>
      <c r="V23" s="122"/>
      <c r="W23" s="123">
        <f t="shared" si="0"/>
        <v>33</v>
      </c>
      <c r="X23" s="85"/>
      <c r="Y23" s="151"/>
      <c r="Z23" s="152"/>
      <c r="AA23" s="152"/>
      <c r="AB23" s="152"/>
      <c r="AC23" s="152"/>
      <c r="AD23" s="152"/>
      <c r="AE23" s="152"/>
      <c r="AF23" s="153"/>
    </row>
    <row r="24" spans="2:33" s="86" customFormat="1" ht="14.25" customHeight="1" x14ac:dyDescent="0.25">
      <c r="B24" s="121">
        <v>90</v>
      </c>
      <c r="C24" s="150"/>
      <c r="D24" s="150"/>
      <c r="E24" s="150"/>
      <c r="F24" s="150"/>
      <c r="G24" s="87"/>
      <c r="H24" s="122"/>
      <c r="I24" s="121">
        <v>90</v>
      </c>
      <c r="J24" s="150"/>
      <c r="K24" s="150"/>
      <c r="L24" s="150"/>
      <c r="M24" s="150"/>
      <c r="N24" s="96">
        <v>22</v>
      </c>
      <c r="O24" s="122">
        <f t="shared" si="1"/>
        <v>50</v>
      </c>
      <c r="P24" s="121">
        <v>90</v>
      </c>
      <c r="Q24" s="150"/>
      <c r="R24" s="150"/>
      <c r="S24" s="150"/>
      <c r="T24" s="150"/>
      <c r="U24" s="87"/>
      <c r="V24" s="122"/>
      <c r="W24" s="123">
        <f t="shared" si="0"/>
        <v>50</v>
      </c>
      <c r="X24" s="85"/>
      <c r="Y24" s="151"/>
      <c r="Z24" s="152"/>
      <c r="AA24" s="152"/>
      <c r="AB24" s="152"/>
      <c r="AC24" s="152"/>
      <c r="AD24" s="152"/>
      <c r="AE24" s="152"/>
      <c r="AF24" s="153"/>
    </row>
    <row r="25" spans="2:33" s="86" customFormat="1" ht="14.25" customHeight="1" x14ac:dyDescent="0.25">
      <c r="B25" s="124">
        <v>128</v>
      </c>
      <c r="C25" s="150"/>
      <c r="D25" s="150"/>
      <c r="E25" s="150"/>
      <c r="F25" s="150"/>
      <c r="G25" s="87"/>
      <c r="H25" s="122"/>
      <c r="I25" s="124">
        <v>128</v>
      </c>
      <c r="J25" s="150"/>
      <c r="K25" s="150"/>
      <c r="L25" s="150"/>
      <c r="M25" s="150"/>
      <c r="N25" s="96">
        <v>24</v>
      </c>
      <c r="O25" s="122">
        <f t="shared" si="1"/>
        <v>72</v>
      </c>
      <c r="P25" s="124">
        <v>128</v>
      </c>
      <c r="Q25" s="150"/>
      <c r="R25" s="150"/>
      <c r="S25" s="150"/>
      <c r="T25" s="150"/>
      <c r="U25" s="87"/>
      <c r="V25" s="122"/>
      <c r="W25" s="123">
        <f t="shared" si="0"/>
        <v>72</v>
      </c>
      <c r="X25" s="85"/>
      <c r="Y25" s="151"/>
      <c r="Z25" s="152"/>
      <c r="AA25" s="152"/>
      <c r="AB25" s="152"/>
      <c r="AC25" s="152"/>
      <c r="AD25" s="152"/>
      <c r="AE25" s="152"/>
      <c r="AF25" s="153"/>
    </row>
    <row r="26" spans="2:33" s="86" customFormat="1" ht="14.25" customHeight="1" x14ac:dyDescent="0.25">
      <c r="B26" s="124">
        <v>180</v>
      </c>
      <c r="C26" s="150"/>
      <c r="D26" s="150"/>
      <c r="E26" s="150"/>
      <c r="F26" s="150"/>
      <c r="G26" s="87"/>
      <c r="H26" s="122"/>
      <c r="I26" s="124">
        <v>180</v>
      </c>
      <c r="J26" s="150"/>
      <c r="K26" s="150"/>
      <c r="L26" s="150"/>
      <c r="M26" s="150"/>
      <c r="N26" s="88">
        <v>4</v>
      </c>
      <c r="O26" s="122">
        <f t="shared" si="1"/>
        <v>96</v>
      </c>
      <c r="P26" s="124">
        <v>180</v>
      </c>
      <c r="Q26" s="150"/>
      <c r="R26" s="150"/>
      <c r="S26" s="150"/>
      <c r="T26" s="150"/>
      <c r="U26" s="87"/>
      <c r="V26" s="122"/>
      <c r="W26" s="123">
        <f t="shared" si="0"/>
        <v>96</v>
      </c>
      <c r="X26" s="85"/>
      <c r="Y26" s="151"/>
      <c r="Z26" s="152"/>
      <c r="AA26" s="152"/>
      <c r="AB26" s="152"/>
      <c r="AC26" s="152"/>
      <c r="AD26" s="152"/>
      <c r="AE26" s="152"/>
      <c r="AF26" s="153"/>
    </row>
    <row r="27" spans="2:33" s="86" customFormat="1" ht="14.25" customHeight="1" x14ac:dyDescent="0.25">
      <c r="B27" s="124">
        <v>256</v>
      </c>
      <c r="C27" s="150"/>
      <c r="D27" s="150"/>
      <c r="E27" s="150"/>
      <c r="F27" s="150"/>
      <c r="G27" s="87"/>
      <c r="H27" s="122"/>
      <c r="I27" s="124">
        <v>256</v>
      </c>
      <c r="J27" s="150"/>
      <c r="K27" s="150"/>
      <c r="L27" s="150"/>
      <c r="M27" s="150"/>
      <c r="N27" s="88"/>
      <c r="O27" s="122">
        <f t="shared" si="1"/>
        <v>100</v>
      </c>
      <c r="P27" s="124">
        <v>256</v>
      </c>
      <c r="Q27" s="150"/>
      <c r="R27" s="150"/>
      <c r="S27" s="150"/>
      <c r="T27" s="150"/>
      <c r="U27" s="87"/>
      <c r="V27" s="122"/>
      <c r="W27" s="123">
        <f t="shared" si="0"/>
        <v>100</v>
      </c>
      <c r="X27" s="85"/>
      <c r="Y27" s="151"/>
      <c r="Z27" s="152"/>
      <c r="AA27" s="152"/>
      <c r="AB27" s="152"/>
      <c r="AC27" s="152"/>
      <c r="AD27" s="152"/>
      <c r="AE27" s="152"/>
      <c r="AF27" s="153"/>
    </row>
    <row r="28" spans="2:33" s="86" customFormat="1" ht="18" thickBot="1" x14ac:dyDescent="0.35">
      <c r="B28" s="124">
        <v>360</v>
      </c>
      <c r="C28" s="150"/>
      <c r="D28" s="150"/>
      <c r="E28" s="150"/>
      <c r="F28" s="150"/>
      <c r="G28" s="87"/>
      <c r="H28" s="122"/>
      <c r="I28" s="124">
        <v>360</v>
      </c>
      <c r="J28" s="150"/>
      <c r="K28" s="150"/>
      <c r="L28" s="150"/>
      <c r="M28" s="150"/>
      <c r="N28" s="97"/>
      <c r="O28" s="122">
        <f t="shared" si="1"/>
        <v>100</v>
      </c>
      <c r="P28" s="124">
        <v>360</v>
      </c>
      <c r="Q28" s="150"/>
      <c r="R28" s="150"/>
      <c r="S28" s="150"/>
      <c r="T28" s="150"/>
      <c r="U28" s="87"/>
      <c r="V28" s="122"/>
      <c r="W28" s="123">
        <f t="shared" si="0"/>
        <v>100</v>
      </c>
      <c r="X28" s="85"/>
      <c r="Y28" s="151"/>
      <c r="Z28" s="152"/>
      <c r="AA28" s="152"/>
      <c r="AB28" s="152"/>
      <c r="AC28" s="152"/>
      <c r="AD28" s="152"/>
      <c r="AE28" s="152"/>
      <c r="AF28" s="153"/>
      <c r="AG28" s="98"/>
    </row>
    <row r="29" spans="2:33" s="86" customFormat="1" ht="13.9" x14ac:dyDescent="0.25">
      <c r="H29" s="99"/>
      <c r="X29" s="85"/>
      <c r="Y29" s="151"/>
      <c r="Z29" s="152"/>
      <c r="AA29" s="152"/>
      <c r="AB29" s="152"/>
      <c r="AC29" s="152"/>
      <c r="AD29" s="152"/>
      <c r="AE29" s="152"/>
      <c r="AF29" s="153"/>
    </row>
    <row r="30" spans="2:33" s="86" customFormat="1" ht="14.45" thickBot="1" x14ac:dyDescent="0.3">
      <c r="C30" s="160" t="s">
        <v>121</v>
      </c>
      <c r="D30" s="160"/>
      <c r="E30" s="160"/>
      <c r="F30" s="160"/>
      <c r="G30" s="160"/>
      <c r="H30" s="160"/>
      <c r="I30" s="113"/>
      <c r="J30" s="160" t="s">
        <v>122</v>
      </c>
      <c r="K30" s="160"/>
      <c r="L30" s="160"/>
      <c r="M30" s="160"/>
      <c r="N30" s="160"/>
      <c r="O30" s="160"/>
      <c r="P30" s="113"/>
      <c r="Q30" s="160" t="s">
        <v>123</v>
      </c>
      <c r="R30" s="160"/>
      <c r="S30" s="160"/>
      <c r="T30" s="160"/>
      <c r="U30" s="160"/>
      <c r="V30" s="160"/>
      <c r="X30" s="85"/>
      <c r="Y30" s="151"/>
      <c r="Z30" s="152"/>
      <c r="AA30" s="152"/>
      <c r="AB30" s="152"/>
      <c r="AC30" s="152"/>
      <c r="AD30" s="152"/>
      <c r="AE30" s="152"/>
      <c r="AF30" s="153"/>
    </row>
    <row r="31" spans="2:33" s="86" customFormat="1" ht="13.9" x14ac:dyDescent="0.25">
      <c r="C31" s="101"/>
      <c r="D31" s="102"/>
      <c r="E31" s="102"/>
      <c r="F31" s="102"/>
      <c r="G31" s="161"/>
      <c r="H31" s="162"/>
      <c r="I31" s="90"/>
      <c r="J31" s="101"/>
      <c r="K31" s="102"/>
      <c r="L31" s="102"/>
      <c r="M31" s="102"/>
      <c r="N31" s="161"/>
      <c r="O31" s="162"/>
      <c r="Q31" s="101"/>
      <c r="R31" s="102"/>
      <c r="S31" s="102"/>
      <c r="T31" s="102"/>
      <c r="U31" s="161"/>
      <c r="V31" s="162"/>
    </row>
    <row r="32" spans="2:33" s="86" customFormat="1" ht="13.9" x14ac:dyDescent="0.25">
      <c r="C32" s="103"/>
      <c r="D32" s="104"/>
      <c r="E32" s="104"/>
      <c r="F32" s="104"/>
      <c r="G32" s="155"/>
      <c r="H32" s="156"/>
      <c r="I32" s="90"/>
      <c r="J32" s="103"/>
      <c r="K32" s="104"/>
      <c r="L32" s="104"/>
      <c r="M32" s="104"/>
      <c r="N32" s="155"/>
      <c r="O32" s="156"/>
      <c r="Q32" s="103"/>
      <c r="R32" s="104"/>
      <c r="S32" s="104"/>
      <c r="T32" s="104"/>
      <c r="U32" s="155"/>
      <c r="V32" s="156"/>
      <c r="X32" s="1"/>
      <c r="AA32" s="1"/>
      <c r="AC32" s="1"/>
      <c r="AD32" s="99"/>
      <c r="AF32" s="23"/>
    </row>
    <row r="33" spans="2:32" s="86" customFormat="1" ht="17.45" x14ac:dyDescent="0.25">
      <c r="C33" s="103"/>
      <c r="D33" s="104"/>
      <c r="E33" s="104"/>
      <c r="F33" s="104"/>
      <c r="G33" s="155"/>
      <c r="H33" s="156"/>
      <c r="I33" s="90"/>
      <c r="J33" s="103"/>
      <c r="K33" s="104"/>
      <c r="L33" s="104"/>
      <c r="M33" s="104"/>
      <c r="N33" s="155"/>
      <c r="O33" s="156"/>
      <c r="Q33" s="103"/>
      <c r="R33" s="104"/>
      <c r="S33" s="104"/>
      <c r="T33" s="104"/>
      <c r="U33" s="155"/>
      <c r="V33" s="156"/>
      <c r="Y33" s="105"/>
      <c r="Z33" s="159"/>
      <c r="AA33" s="159"/>
      <c r="AB33" s="159"/>
      <c r="AC33" s="100"/>
      <c r="AE33" s="37"/>
      <c r="AF33" s="106"/>
    </row>
    <row r="34" spans="2:32" s="86" customFormat="1" ht="18" thickBot="1" x14ac:dyDescent="0.3">
      <c r="C34" s="107"/>
      <c r="D34" s="108"/>
      <c r="E34" s="108"/>
      <c r="F34" s="108"/>
      <c r="G34" s="157"/>
      <c r="H34" s="158"/>
      <c r="I34" s="90"/>
      <c r="J34" s="107"/>
      <c r="K34" s="108"/>
      <c r="L34" s="108"/>
      <c r="M34" s="108"/>
      <c r="N34" s="109"/>
      <c r="O34" s="110"/>
      <c r="Q34" s="107"/>
      <c r="R34" s="108"/>
      <c r="S34" s="108"/>
      <c r="T34" s="108"/>
      <c r="U34" s="157"/>
      <c r="V34" s="158"/>
      <c r="Y34" s="105"/>
      <c r="Z34" s="159"/>
      <c r="AA34" s="159"/>
      <c r="AB34" s="159"/>
      <c r="AC34" s="100"/>
      <c r="AE34" s="37"/>
      <c r="AF34" s="106"/>
    </row>
    <row r="35" spans="2:32" s="86" customFormat="1" ht="13.9" x14ac:dyDescent="0.25">
      <c r="B35" s="1" t="s">
        <v>124</v>
      </c>
      <c r="C35" s="86" t="s">
        <v>125</v>
      </c>
      <c r="G35" s="1"/>
      <c r="H35" s="99"/>
      <c r="K35" s="1" t="s">
        <v>126</v>
      </c>
      <c r="L35" s="1"/>
      <c r="M35" s="1">
        <v>965</v>
      </c>
      <c r="N35" s="1"/>
      <c r="R35" s="23"/>
      <c r="S35" s="23"/>
      <c r="T35" s="23"/>
      <c r="V35" s="23" t="s">
        <v>153</v>
      </c>
      <c r="X35" s="1" t="s">
        <v>127</v>
      </c>
      <c r="Y35" s="1"/>
      <c r="Z35" s="1"/>
      <c r="AA35" s="1" t="s">
        <v>126</v>
      </c>
      <c r="AB35" s="1">
        <v>966</v>
      </c>
      <c r="AD35" s="1"/>
      <c r="AE35" s="1"/>
      <c r="AF35" s="23" t="s">
        <v>128</v>
      </c>
    </row>
    <row r="36" spans="2:32" s="86" customFormat="1" ht="13.9" x14ac:dyDescent="0.25">
      <c r="G36" s="90"/>
      <c r="H36" s="111"/>
      <c r="I36" s="90"/>
      <c r="J36" s="90"/>
      <c r="K36" s="90"/>
      <c r="L36" s="90"/>
      <c r="M36" s="90"/>
      <c r="N36" s="91"/>
      <c r="O36" s="92"/>
      <c r="P36" s="92"/>
      <c r="Q36" s="92"/>
      <c r="R36" s="92"/>
      <c r="S36" s="92"/>
      <c r="T36" s="92"/>
      <c r="Z36" s="100"/>
      <c r="AA36" s="112"/>
      <c r="AB36" s="100"/>
      <c r="AD36" s="92"/>
      <c r="AE36" s="92"/>
    </row>
    <row r="37" spans="2:32" s="86" customFormat="1" ht="13.9" x14ac:dyDescent="0.25">
      <c r="H37" s="99"/>
      <c r="Y37" s="92"/>
      <c r="Z37" s="90"/>
      <c r="AA37" s="90"/>
      <c r="AB37" s="91"/>
      <c r="AC37" s="92"/>
      <c r="AD37" s="92"/>
      <c r="AE37" s="92"/>
    </row>
    <row r="38" spans="2:32" s="86" customFormat="1" ht="13.9" x14ac:dyDescent="0.25">
      <c r="E38" s="126"/>
      <c r="F38" s="126"/>
      <c r="G38" s="126"/>
      <c r="H38" s="127"/>
      <c r="I38" s="126"/>
      <c r="J38" s="126"/>
      <c r="K38" s="126"/>
      <c r="L38" s="126"/>
      <c r="M38" s="126"/>
      <c r="N38" s="126"/>
      <c r="O38" s="126"/>
      <c r="P38" s="126"/>
      <c r="Q38" s="126"/>
      <c r="R38" s="126"/>
      <c r="S38" s="126"/>
      <c r="T38" s="126"/>
      <c r="U38" s="126"/>
      <c r="V38" s="126"/>
      <c r="W38" s="126" t="s">
        <v>134</v>
      </c>
      <c r="Y38" s="90"/>
      <c r="Z38" s="90"/>
      <c r="AA38" s="90"/>
      <c r="AB38" s="91"/>
      <c r="AC38" s="92"/>
      <c r="AE38" s="92"/>
    </row>
    <row r="39" spans="2:32" s="86" customFormat="1" ht="14.45" x14ac:dyDescent="0.3">
      <c r="E39" s="117" t="s">
        <v>129</v>
      </c>
      <c r="F39" s="117" t="s">
        <v>107</v>
      </c>
      <c r="G39" s="126"/>
      <c r="H39" s="126"/>
      <c r="I39" s="126"/>
      <c r="J39" s="126"/>
      <c r="K39" s="126"/>
      <c r="L39" s="117" t="s">
        <v>129</v>
      </c>
      <c r="M39" s="117" t="s">
        <v>107</v>
      </c>
      <c r="N39" s="126"/>
      <c r="O39" s="126"/>
      <c r="P39" s="126"/>
      <c r="Q39" s="126"/>
      <c r="R39" s="126"/>
      <c r="S39" s="117" t="s">
        <v>129</v>
      </c>
      <c r="T39" s="117" t="s">
        <v>107</v>
      </c>
      <c r="U39" s="126"/>
      <c r="V39" s="126"/>
      <c r="W39" s="117" t="s">
        <v>107</v>
      </c>
      <c r="Y39" s="90"/>
      <c r="Z39" s="90"/>
      <c r="AA39" s="90"/>
      <c r="AB39" s="91"/>
      <c r="AC39" s="92"/>
      <c r="AE39" s="92"/>
    </row>
    <row r="40" spans="2:32" s="86" customFormat="1" ht="14.45" x14ac:dyDescent="0.3">
      <c r="E40" s="117">
        <v>16</v>
      </c>
      <c r="F40" s="118"/>
      <c r="G40" s="126"/>
      <c r="H40" s="126"/>
      <c r="I40" s="126"/>
      <c r="J40" s="126"/>
      <c r="K40" s="126"/>
      <c r="L40" s="117">
        <v>16</v>
      </c>
      <c r="M40" s="118">
        <f ca="1">10^(FORECAST(L40,LOG(OFFSET(I$13:I$28,MATCH(L40,O$13:O$28,1)-1,0,2)),OFFSET(O$13:O$28,MATCH(L40,O$13:O$28,1)-1,0,2)))</f>
        <v>37.034403213576041</v>
      </c>
      <c r="N40" s="126"/>
      <c r="O40" s="126"/>
      <c r="P40" s="126"/>
      <c r="Q40" s="126"/>
      <c r="R40" s="126"/>
      <c r="S40" s="117">
        <v>16</v>
      </c>
      <c r="T40" s="118"/>
      <c r="U40" s="126"/>
      <c r="V40" s="128"/>
      <c r="W40" s="118">
        <f ca="1">10^(FORECAST(S40,LOG(OFFSET(P$13:P$28,MATCH(S40,W$13:W$28,1)-1,0,2)),OFFSET(W$13:W$28,MATCH(S40,W$13:W$28,1)-1,0,2)))</f>
        <v>37.034403213576041</v>
      </c>
    </row>
    <row r="41" spans="2:32" s="86" customFormat="1" ht="14.45" x14ac:dyDescent="0.3">
      <c r="E41" s="117">
        <v>50</v>
      </c>
      <c r="F41" s="118"/>
      <c r="G41" s="126"/>
      <c r="H41" s="126"/>
      <c r="I41" s="126"/>
      <c r="J41" s="126"/>
      <c r="K41" s="126"/>
      <c r="L41" s="117">
        <v>50</v>
      </c>
      <c r="M41" s="118">
        <f ca="1">10^(FORECAST(L41,LOG(OFFSET(I$13:I$28,MATCH(L41,O$13:O$28,1)-1,0,2)),OFFSET(O$13:O$28,MATCH(L41,O$13:O$28,1)-1,0,2)))</f>
        <v>90.000000000000071</v>
      </c>
      <c r="N41" s="126"/>
      <c r="O41" s="126"/>
      <c r="P41" s="126"/>
      <c r="Q41" s="126"/>
      <c r="R41" s="126"/>
      <c r="S41" s="117">
        <v>50</v>
      </c>
      <c r="T41" s="118"/>
      <c r="U41" s="126"/>
      <c r="V41" s="128"/>
      <c r="W41" s="118">
        <f t="shared" ref="W41:W43" ca="1" si="2">10^(FORECAST(S41,LOG(OFFSET(P$13:P$28,MATCH(S41,W$13:W$28,1)-1,0,2)),OFFSET(W$13:W$28,MATCH(S41,W$13:W$28,1)-1,0,2)))</f>
        <v>90.000000000000071</v>
      </c>
    </row>
    <row r="42" spans="2:32" s="86" customFormat="1" ht="15" x14ac:dyDescent="0.25">
      <c r="E42" s="117">
        <v>84</v>
      </c>
      <c r="F42" s="118"/>
      <c r="G42" s="126"/>
      <c r="H42" s="126"/>
      <c r="I42" s="126"/>
      <c r="J42" s="126"/>
      <c r="K42" s="126"/>
      <c r="L42" s="117">
        <v>84</v>
      </c>
      <c r="M42" s="118">
        <f t="shared" ref="M42:M43" ca="1" si="3">10^(FORECAST(L42,LOG(OFFSET(I$13:I$28,MATCH(L42,O$13:O$28,1)-1,0,2)),OFFSET(O$13:O$28,MATCH(L42,O$13:O$28,1)-1,0,2)))</f>
        <v>151.78932768808227</v>
      </c>
      <c r="N42" s="126"/>
      <c r="O42" s="126"/>
      <c r="P42" s="126"/>
      <c r="Q42" s="126"/>
      <c r="R42" s="126"/>
      <c r="S42" s="117">
        <v>84</v>
      </c>
      <c r="T42" s="118"/>
      <c r="U42" s="126"/>
      <c r="V42" s="128"/>
      <c r="W42" s="118">
        <f t="shared" ca="1" si="2"/>
        <v>151.78932768808227</v>
      </c>
    </row>
    <row r="43" spans="2:32" s="86" customFormat="1" ht="15" x14ac:dyDescent="0.25">
      <c r="E43" s="117">
        <v>90</v>
      </c>
      <c r="F43" s="118"/>
      <c r="G43" s="126"/>
      <c r="H43" s="126"/>
      <c r="I43" s="126"/>
      <c r="J43" s="126"/>
      <c r="K43" s="126"/>
      <c r="L43" s="117">
        <v>90</v>
      </c>
      <c r="M43" s="118">
        <f t="shared" ca="1" si="3"/>
        <v>165.2939169596232</v>
      </c>
      <c r="N43" s="126"/>
      <c r="O43" s="126"/>
      <c r="P43" s="126"/>
      <c r="Q43" s="126"/>
      <c r="R43" s="126"/>
      <c r="S43" s="117">
        <v>90</v>
      </c>
      <c r="T43" s="118"/>
      <c r="U43" s="126"/>
      <c r="V43" s="128"/>
      <c r="W43" s="118">
        <f t="shared" ca="1" si="2"/>
        <v>165.2939169596232</v>
      </c>
    </row>
    <row r="44" spans="2:32" s="86" customFormat="1" ht="15" x14ac:dyDescent="0.25">
      <c r="E44" s="119"/>
      <c r="F44" s="119"/>
      <c r="G44" s="126"/>
      <c r="H44" s="126"/>
      <c r="I44" s="126"/>
      <c r="J44" s="126"/>
      <c r="K44" s="126"/>
      <c r="L44" s="119"/>
      <c r="M44" s="119"/>
      <c r="N44" s="126"/>
      <c r="O44" s="126"/>
      <c r="P44" s="126"/>
      <c r="Q44" s="126"/>
      <c r="R44" s="126"/>
      <c r="S44" s="119"/>
      <c r="T44" s="119"/>
      <c r="U44" s="126"/>
      <c r="V44" s="126"/>
      <c r="W44" s="118"/>
    </row>
    <row r="45" spans="2:32" s="86" customFormat="1" ht="15" x14ac:dyDescent="0.25">
      <c r="E45" s="117" t="s">
        <v>130</v>
      </c>
      <c r="F45" s="118"/>
      <c r="G45" s="126"/>
      <c r="H45" s="126"/>
      <c r="I45" s="126"/>
      <c r="J45" s="126"/>
      <c r="K45" s="126"/>
      <c r="L45" s="117" t="s">
        <v>130</v>
      </c>
      <c r="M45" s="118">
        <f ca="1">0.5*(M42/M41+M41/M40)</f>
        <v>2.0583604514350098</v>
      </c>
      <c r="N45" s="126"/>
      <c r="O45" s="126"/>
      <c r="P45" s="126"/>
      <c r="Q45" s="126"/>
      <c r="R45" s="126"/>
      <c r="S45" s="117" t="s">
        <v>130</v>
      </c>
      <c r="T45" s="118"/>
      <c r="U45" s="126"/>
      <c r="V45" s="126"/>
      <c r="W45" s="118">
        <f ca="1">0.5*(W42/W41+W41/W40)</f>
        <v>2.0583604514350098</v>
      </c>
    </row>
    <row r="46" spans="2:32" s="86" customFormat="1" ht="15" x14ac:dyDescent="0.25">
      <c r="E46" s="119" t="s">
        <v>132</v>
      </c>
      <c r="F46" s="118"/>
      <c r="G46" s="126"/>
      <c r="H46" s="126"/>
      <c r="I46" s="126"/>
      <c r="J46" s="126"/>
      <c r="K46" s="126"/>
      <c r="L46" s="119" t="s">
        <v>132</v>
      </c>
      <c r="M46" s="118">
        <f>O12</f>
        <v>5</v>
      </c>
      <c r="N46" s="126"/>
      <c r="O46" s="126"/>
      <c r="P46" s="126"/>
      <c r="Q46" s="126"/>
      <c r="R46" s="126"/>
      <c r="S46" s="119" t="s">
        <v>132</v>
      </c>
      <c r="T46" s="118"/>
      <c r="U46" s="126"/>
      <c r="V46" s="126"/>
      <c r="W46" s="118">
        <f>W12</f>
        <v>5</v>
      </c>
    </row>
    <row r="47" spans="2:32" s="86" customFormat="1" x14ac:dyDescent="0.2">
      <c r="H47" s="99"/>
    </row>
    <row r="48" spans="2:32" s="86" customFormat="1" x14ac:dyDescent="0.2">
      <c r="H48" s="99"/>
    </row>
    <row r="49" spans="8:14" s="86" customFormat="1" x14ac:dyDescent="0.2">
      <c r="H49" s="99"/>
    </row>
    <row r="50" spans="8:14" s="86" customFormat="1" x14ac:dyDescent="0.2">
      <c r="H50" s="99"/>
    </row>
    <row r="51" spans="8:14" s="86" customFormat="1" x14ac:dyDescent="0.2">
      <c r="H51" s="99"/>
    </row>
    <row r="52" spans="8:14" s="86" customFormat="1" x14ac:dyDescent="0.2">
      <c r="H52" s="99"/>
    </row>
    <row r="53" spans="8:14" s="86" customFormat="1" x14ac:dyDescent="0.2">
      <c r="H53" s="99"/>
    </row>
    <row r="54" spans="8:14" s="86" customFormat="1" x14ac:dyDescent="0.2">
      <c r="H54" s="99"/>
    </row>
    <row r="55" spans="8:14" s="86" customFormat="1" x14ac:dyDescent="0.2">
      <c r="H55" s="99"/>
    </row>
    <row r="56" spans="8:14" s="86" customFormat="1" x14ac:dyDescent="0.2">
      <c r="H56" s="99"/>
      <c r="N56" s="129"/>
    </row>
    <row r="57" spans="8:14" s="86" customFormat="1" x14ac:dyDescent="0.2">
      <c r="H57" s="99"/>
      <c r="N57" s="92"/>
    </row>
    <row r="58" spans="8:14" s="86" customFormat="1" x14ac:dyDescent="0.2">
      <c r="H58" s="99"/>
      <c r="N58" s="92"/>
    </row>
    <row r="59" spans="8:14" s="86" customFormat="1" x14ac:dyDescent="0.2">
      <c r="H59" s="99"/>
      <c r="N59" s="92"/>
    </row>
    <row r="60" spans="8:14" s="86" customFormat="1" x14ac:dyDescent="0.2">
      <c r="H60" s="99"/>
      <c r="N60" s="92"/>
    </row>
    <row r="61" spans="8:14" s="86" customFormat="1" x14ac:dyDescent="0.2">
      <c r="H61" s="99"/>
      <c r="N61" s="92"/>
    </row>
    <row r="62" spans="8:14" s="86" customFormat="1" x14ac:dyDescent="0.2">
      <c r="H62" s="99"/>
      <c r="N62" s="92"/>
    </row>
    <row r="63" spans="8:14" s="86" customFormat="1" x14ac:dyDescent="0.2">
      <c r="H63" s="99"/>
      <c r="N63" s="92"/>
    </row>
    <row r="64" spans="8:14" s="86" customFormat="1" x14ac:dyDescent="0.2">
      <c r="H64" s="99"/>
      <c r="N64" s="92"/>
    </row>
    <row r="65" spans="8:14" s="86" customFormat="1" x14ac:dyDescent="0.2">
      <c r="H65" s="99"/>
      <c r="N65" s="92"/>
    </row>
    <row r="66" spans="8:14" s="86" customFormat="1" x14ac:dyDescent="0.2">
      <c r="H66" s="99"/>
      <c r="N66" s="130"/>
    </row>
    <row r="67" spans="8:14" s="86" customFormat="1" x14ac:dyDescent="0.2">
      <c r="H67" s="99"/>
      <c r="N67" s="131"/>
    </row>
    <row r="68" spans="8:14" s="86" customFormat="1" x14ac:dyDescent="0.2">
      <c r="H68" s="99"/>
      <c r="N68" s="129"/>
    </row>
    <row r="69" spans="8:14" s="86" customFormat="1" x14ac:dyDescent="0.2">
      <c r="H69" s="99"/>
      <c r="N69" s="129"/>
    </row>
    <row r="70" spans="8:14" s="86" customFormat="1" x14ac:dyDescent="0.2">
      <c r="H70" s="99"/>
      <c r="N70" s="92"/>
    </row>
    <row r="71" spans="8:14" s="86" customFormat="1" x14ac:dyDescent="0.2">
      <c r="H71" s="99"/>
      <c r="N71" s="92"/>
    </row>
    <row r="72" spans="8:14" s="86" customFormat="1" x14ac:dyDescent="0.2">
      <c r="H72" s="99"/>
      <c r="N72" s="92"/>
    </row>
    <row r="73" spans="8:14" s="86" customFormat="1" x14ac:dyDescent="0.2">
      <c r="H73" s="99"/>
    </row>
    <row r="74" spans="8:14" s="86" customFormat="1" x14ac:dyDescent="0.2">
      <c r="H74" s="99"/>
    </row>
    <row r="75" spans="8:14" s="86" customFormat="1" x14ac:dyDescent="0.2">
      <c r="H75" s="99"/>
    </row>
    <row r="76" spans="8:14" s="86" customFormat="1" x14ac:dyDescent="0.2">
      <c r="H76" s="99"/>
    </row>
    <row r="77" spans="8:14" s="86" customFormat="1" x14ac:dyDescent="0.2">
      <c r="H77" s="99"/>
    </row>
    <row r="78" spans="8:14" s="86" customFormat="1" x14ac:dyDescent="0.2">
      <c r="H78" s="99"/>
    </row>
    <row r="79" spans="8:14" s="86" customFormat="1" x14ac:dyDescent="0.2">
      <c r="H79" s="99"/>
    </row>
    <row r="80" spans="8:14" s="86" customFormat="1" x14ac:dyDescent="0.2">
      <c r="H80" s="99"/>
    </row>
    <row r="81" spans="8:8" s="86" customFormat="1" x14ac:dyDescent="0.2">
      <c r="H81" s="99"/>
    </row>
    <row r="82" spans="8:8" s="86" customFormat="1" x14ac:dyDescent="0.2">
      <c r="H82" s="99"/>
    </row>
    <row r="83" spans="8:8" s="86" customFormat="1" x14ac:dyDescent="0.2">
      <c r="H83" s="99"/>
    </row>
    <row r="84" spans="8:8" s="86" customFormat="1" x14ac:dyDescent="0.2">
      <c r="H84" s="99"/>
    </row>
    <row r="85" spans="8:8" s="86" customFormat="1" x14ac:dyDescent="0.2">
      <c r="H85" s="99"/>
    </row>
    <row r="86" spans="8:8" s="86" customFormat="1" x14ac:dyDescent="0.2">
      <c r="H86" s="99"/>
    </row>
    <row r="87" spans="8:8" s="86" customFormat="1" x14ac:dyDescent="0.2">
      <c r="H87" s="99"/>
    </row>
    <row r="88" spans="8:8" s="86" customFormat="1" x14ac:dyDescent="0.2">
      <c r="H88" s="99"/>
    </row>
    <row r="89" spans="8:8" s="86" customFormat="1" x14ac:dyDescent="0.2">
      <c r="H89" s="99"/>
    </row>
    <row r="90" spans="8:8" s="86" customFormat="1" x14ac:dyDescent="0.2">
      <c r="H90" s="99"/>
    </row>
    <row r="91" spans="8:8" s="86" customFormat="1" x14ac:dyDescent="0.2">
      <c r="H91" s="99"/>
    </row>
    <row r="92" spans="8:8" s="86" customFormat="1" x14ac:dyDescent="0.2">
      <c r="H92" s="99"/>
    </row>
    <row r="93" spans="8:8" s="86" customFormat="1" x14ac:dyDescent="0.2">
      <c r="H93" s="99"/>
    </row>
    <row r="94" spans="8:8" s="86" customFormat="1" x14ac:dyDescent="0.2">
      <c r="H94" s="99"/>
    </row>
    <row r="95" spans="8:8" s="86" customFormat="1" x14ac:dyDescent="0.2">
      <c r="H95" s="99"/>
    </row>
    <row r="96" spans="8:8" s="86" customFormat="1" x14ac:dyDescent="0.2">
      <c r="H96" s="99"/>
    </row>
    <row r="97" spans="8:33" s="86" customFormat="1" x14ac:dyDescent="0.2">
      <c r="H97" s="99"/>
    </row>
    <row r="98" spans="8:33" x14ac:dyDescent="0.2">
      <c r="X98" s="86"/>
      <c r="Y98" s="86"/>
      <c r="Z98" s="86"/>
      <c r="AA98" s="86"/>
      <c r="AB98" s="86"/>
      <c r="AC98" s="86"/>
      <c r="AD98" s="86"/>
      <c r="AE98" s="86"/>
      <c r="AF98" s="86"/>
      <c r="AG98" s="86"/>
    </row>
    <row r="99" spans="8:33" x14ac:dyDescent="0.2">
      <c r="X99" s="86"/>
      <c r="Y99" s="86"/>
      <c r="Z99" s="86"/>
      <c r="AA99" s="86"/>
      <c r="AB99" s="86"/>
      <c r="AC99" s="86"/>
      <c r="AD99" s="86"/>
      <c r="AE99" s="86"/>
      <c r="AF99" s="86"/>
      <c r="AG99" s="86"/>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E8" sqref="E8"/>
    </sheetView>
  </sheetViews>
  <sheetFormatPr defaultRowHeight="15" x14ac:dyDescent="0.25"/>
  <sheetData>
    <row r="6" spans="3:8" x14ac:dyDescent="0.3">
      <c r="C6" s="119"/>
      <c r="D6" s="163" t="s">
        <v>135</v>
      </c>
      <c r="E6" s="163"/>
      <c r="F6" s="163"/>
      <c r="G6" s="163"/>
      <c r="H6" s="117" t="s">
        <v>136</v>
      </c>
    </row>
    <row r="7" spans="3:8" x14ac:dyDescent="0.3">
      <c r="C7" s="119"/>
      <c r="D7" s="117" t="s">
        <v>108</v>
      </c>
      <c r="E7" s="117" t="s">
        <v>111</v>
      </c>
      <c r="F7" s="117" t="s">
        <v>112</v>
      </c>
      <c r="G7" s="117" t="s">
        <v>137</v>
      </c>
      <c r="H7" s="117" t="s">
        <v>138</v>
      </c>
    </row>
    <row r="8" spans="3:8" x14ac:dyDescent="0.3">
      <c r="C8" s="119" t="s">
        <v>139</v>
      </c>
      <c r="D8" s="118"/>
      <c r="E8" s="118">
        <f ca="1">+Surface!M40</f>
        <v>37.034403213576041</v>
      </c>
      <c r="F8" s="118"/>
      <c r="G8" s="118">
        <f ca="1">+Surface!W40</f>
        <v>37.034403213576041</v>
      </c>
      <c r="H8" s="118">
        <f ca="1">+SubS!AE30</f>
        <v>0.72084061464046312</v>
      </c>
    </row>
    <row r="9" spans="3:8" x14ac:dyDescent="0.3">
      <c r="C9" s="119" t="s">
        <v>140</v>
      </c>
      <c r="D9" s="118"/>
      <c r="E9" s="118">
        <f ca="1">+Surface!M41</f>
        <v>90.000000000000071</v>
      </c>
      <c r="F9" s="118"/>
      <c r="G9" s="118">
        <f ca="1">+Surface!W41</f>
        <v>90.000000000000071</v>
      </c>
      <c r="H9" s="118">
        <f ca="1">+SubS!AE31</f>
        <v>27.489594977830251</v>
      </c>
    </row>
    <row r="10" spans="3:8" x14ac:dyDescent="0.3">
      <c r="C10" s="119" t="s">
        <v>141</v>
      </c>
      <c r="D10" s="118"/>
      <c r="E10" s="118">
        <f ca="1">+Surface!M42</f>
        <v>151.78932768808227</v>
      </c>
      <c r="F10" s="118"/>
      <c r="G10" s="118">
        <f ca="1">+Surface!W42</f>
        <v>151.78932768808227</v>
      </c>
      <c r="H10" s="118">
        <f ca="1">+SubS!AE32</f>
        <v>92.764726550474478</v>
      </c>
    </row>
    <row r="11" spans="3:8" x14ac:dyDescent="0.3">
      <c r="C11" s="119" t="s">
        <v>142</v>
      </c>
      <c r="D11" s="118"/>
      <c r="E11" s="118">
        <f ca="1">+Surface!M43</f>
        <v>165.2939169596232</v>
      </c>
      <c r="F11" s="118"/>
      <c r="G11" s="118">
        <f ca="1">+Surface!W43</f>
        <v>165.2939169596232</v>
      </c>
      <c r="H11" s="118">
        <f ca="1">+SubS!AE33</f>
        <v>108.29084781748065</v>
      </c>
    </row>
    <row r="12" spans="3:8" x14ac:dyDescent="0.3">
      <c r="C12" s="119"/>
      <c r="D12" s="118"/>
      <c r="E12" s="118"/>
      <c r="F12" s="118"/>
      <c r="G12" s="118"/>
      <c r="H12" s="118"/>
    </row>
    <row r="13" spans="3:8" x14ac:dyDescent="0.3">
      <c r="C13" s="119" t="s">
        <v>143</v>
      </c>
      <c r="D13" s="118"/>
      <c r="E13" s="118">
        <f ca="1">+Surface!M45</f>
        <v>2.0583604514350098</v>
      </c>
      <c r="F13" s="118"/>
      <c r="G13" s="118">
        <f ca="1">+Surface!W45</f>
        <v>2.0583604514350098</v>
      </c>
      <c r="H13" s="118">
        <f ca="1">+SubS!AE35</f>
        <v>20.755004339300555</v>
      </c>
    </row>
    <row r="14" spans="3:8" x14ac:dyDescent="0.3">
      <c r="C14" s="119" t="s">
        <v>144</v>
      </c>
      <c r="D14" s="118"/>
      <c r="E14" s="118">
        <f>+Surface!M46</f>
        <v>5</v>
      </c>
      <c r="F14" s="118"/>
      <c r="G14" s="118">
        <f>+Surface!W46</f>
        <v>5</v>
      </c>
      <c r="H14" s="118"/>
    </row>
    <row r="15" spans="3:8" x14ac:dyDescent="0.3">
      <c r="C15" s="119"/>
      <c r="D15" s="119"/>
      <c r="E15" s="119"/>
      <c r="F15" s="119"/>
      <c r="G15" s="119"/>
      <c r="H15" s="119"/>
    </row>
    <row r="16" spans="3:8" x14ac:dyDescent="0.3">
      <c r="C16" s="119" t="s">
        <v>145</v>
      </c>
      <c r="D16" s="119"/>
      <c r="E16" s="119"/>
      <c r="F16" s="119"/>
      <c r="G16" s="119"/>
      <c r="H16" s="118">
        <f>+SubS!AE36</f>
        <v>75.768122011108446</v>
      </c>
    </row>
    <row r="17" spans="3:8" x14ac:dyDescent="0.3">
      <c r="C17" s="119" t="s">
        <v>146</v>
      </c>
      <c r="D17" s="119"/>
      <c r="E17" s="119"/>
      <c r="F17" s="119"/>
      <c r="G17" s="119"/>
      <c r="H17" s="118">
        <f>+SubS!AE37</f>
        <v>22.801799943645491</v>
      </c>
    </row>
    <row r="18" spans="3:8" x14ac:dyDescent="0.3">
      <c r="C18" s="119" t="s">
        <v>147</v>
      </c>
      <c r="D18" s="119"/>
      <c r="E18" s="119"/>
      <c r="F18" s="119"/>
      <c r="G18" s="119"/>
      <c r="H18" s="118">
        <f>+SubS!AE38</f>
        <v>1.4300780452460589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D9" sqref="D9"/>
    </sheetView>
  </sheetViews>
  <sheetFormatPr defaultRowHeight="15" x14ac:dyDescent="0.25"/>
  <sheetData>
    <row r="1" spans="1:1" x14ac:dyDescent="0.25">
      <c r="A1" s="132" t="s">
        <v>148</v>
      </c>
    </row>
    <row r="2" spans="1:1" x14ac:dyDescent="0.25">
      <c r="A2" s="132"/>
    </row>
    <row r="3" spans="1:1" x14ac:dyDescent="0.25">
      <c r="A3" s="132" t="s">
        <v>151</v>
      </c>
    </row>
    <row r="4" spans="1:1" x14ac:dyDescent="0.25">
      <c r="A4" s="132"/>
    </row>
    <row r="5" spans="1:1" x14ac:dyDescent="0.25">
      <c r="A5" s="132" t="s">
        <v>152</v>
      </c>
    </row>
    <row r="6" spans="1:1" x14ac:dyDescent="0.25">
      <c r="A6" s="132"/>
    </row>
    <row r="7" spans="1:1" x14ac:dyDescent="0.25">
      <c r="A7" s="132" t="s">
        <v>149</v>
      </c>
    </row>
    <row r="8" spans="1:1" x14ac:dyDescent="0.25">
      <c r="A8" s="132"/>
    </row>
    <row r="9" spans="1:1" x14ac:dyDescent="0.25">
      <c r="A9" s="13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2013-09-30T20:13:36Z</dcterms:created>
  <dcterms:modified xsi:type="dcterms:W3CDTF">2014-01-22T00:38:54Z</dcterms:modified>
</cp:coreProperties>
</file>