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9525" activeTab="4"/>
  </bookViews>
  <sheets>
    <sheet name="SubS" sheetId="1" r:id="rId1"/>
    <sheet name="Surface" sheetId="2" r:id="rId2"/>
    <sheet name="Dist Chart" sheetId="4" r:id="rId3"/>
    <sheet name="Summary" sheetId="3" r:id="rId4"/>
    <sheet name="readme " sheetId="5" r:id="rId5"/>
  </sheets>
  <calcPr calcId="145621"/>
</workbook>
</file>

<file path=xl/calcChain.xml><?xml version="1.0" encoding="utf-8"?>
<calcChain xmlns="http://schemas.openxmlformats.org/spreadsheetml/2006/main">
  <c r="AE36" i="1" l="1"/>
  <c r="H18" i="3"/>
  <c r="H17" i="3"/>
  <c r="H16" i="3"/>
  <c r="G14" i="3"/>
  <c r="E14" i="3"/>
  <c r="H40" i="1"/>
  <c r="H39" i="1"/>
  <c r="H38" i="1"/>
  <c r="H37" i="1"/>
  <c r="AE15" i="1" s="1"/>
  <c r="I36" i="1"/>
  <c r="H36" i="1"/>
  <c r="AE14" i="1" s="1"/>
  <c r="E24" i="1"/>
  <c r="E20" i="1"/>
  <c r="E19" i="1"/>
  <c r="E18" i="1"/>
  <c r="E17" i="1"/>
  <c r="E16" i="1"/>
  <c r="E15" i="1"/>
  <c r="E14" i="1"/>
  <c r="AE26" i="1"/>
  <c r="AE17" i="1"/>
  <c r="AE16" i="1"/>
  <c r="AE13" i="1"/>
  <c r="AE12" i="1"/>
  <c r="AE11" i="1"/>
  <c r="AE10" i="1"/>
  <c r="AE9" i="1"/>
  <c r="AE8" i="1"/>
  <c r="AF4" i="1"/>
  <c r="W14" i="2"/>
  <c r="W15" i="2"/>
  <c r="W13" i="2"/>
  <c r="O14" i="2"/>
  <c r="O15" i="2" s="1"/>
  <c r="O12" i="2"/>
  <c r="M46" i="2" s="1"/>
  <c r="I37" i="1" l="1"/>
  <c r="I38" i="1" s="1"/>
  <c r="I39" i="1" s="1"/>
  <c r="I40" i="1" s="1"/>
  <c r="AE27" i="1"/>
  <c r="O16" i="2"/>
  <c r="O17" i="2" s="1"/>
  <c r="O18" i="2" s="1"/>
  <c r="O19" i="2" s="1"/>
  <c r="O20" i="2" s="1"/>
  <c r="W12" i="2"/>
  <c r="W46" i="2" s="1"/>
  <c r="W16" i="2"/>
  <c r="H42" i="1"/>
  <c r="H41" i="1"/>
  <c r="H45" i="1" s="1"/>
  <c r="E41" i="1"/>
  <c r="C41" i="1"/>
  <c r="D24" i="1"/>
  <c r="C24" i="1"/>
  <c r="AF17" i="1"/>
  <c r="AF16" i="1"/>
  <c r="AF15" i="1"/>
  <c r="AF14" i="1"/>
  <c r="AF13" i="1"/>
  <c r="AF12" i="1"/>
  <c r="AF11" i="1"/>
  <c r="AF10" i="1"/>
  <c r="AF9" i="1"/>
  <c r="AF8" i="1"/>
  <c r="AF26" i="1"/>
  <c r="AH3" i="1"/>
  <c r="AF2" i="1"/>
  <c r="O21" i="2" l="1"/>
  <c r="O22" i="2" s="1"/>
  <c r="O23" i="2" s="1"/>
  <c r="O24" i="2" s="1"/>
  <c r="O25" i="2" s="1"/>
  <c r="O26" i="2" s="1"/>
  <c r="O27" i="2" s="1"/>
  <c r="O28" i="2" s="1"/>
  <c r="AG8" i="1"/>
  <c r="AG9" i="1" s="1"/>
  <c r="AF27" i="1"/>
  <c r="AH9" i="1" l="1"/>
  <c r="AK9" i="1" s="1"/>
  <c r="M40" i="2"/>
  <c r="E8" i="3" s="1"/>
  <c r="M41" i="2"/>
  <c r="E9" i="3" s="1"/>
  <c r="M42" i="2"/>
  <c r="E10" i="3" s="1"/>
  <c r="W17" i="2"/>
  <c r="M43" i="2"/>
  <c r="E11" i="3" s="1"/>
  <c r="AH8" i="1"/>
  <c r="AK8" i="1" s="1"/>
  <c r="AG10" i="1"/>
  <c r="M45" i="2" l="1"/>
  <c r="E13" i="3" s="1"/>
  <c r="W18" i="2"/>
  <c r="AH10" i="1"/>
  <c r="AK10" i="1" s="1"/>
  <c r="AG11" i="1"/>
  <c r="W19" i="2" l="1"/>
  <c r="AH11" i="1"/>
  <c r="AK11" i="1" s="1"/>
  <c r="AG12" i="1"/>
  <c r="W20" i="2" l="1"/>
  <c r="AH12" i="1"/>
  <c r="AK12" i="1" s="1"/>
  <c r="AG13" i="1"/>
  <c r="W21" i="2" l="1"/>
  <c r="AH13" i="1"/>
  <c r="AK13" i="1" s="1"/>
  <c r="AG14" i="1"/>
  <c r="W22" i="2" l="1"/>
  <c r="AH14" i="1"/>
  <c r="AK14" i="1" s="1"/>
  <c r="AG15" i="1"/>
  <c r="W23" i="2" l="1"/>
  <c r="AH15" i="1"/>
  <c r="AK15" i="1" s="1"/>
  <c r="AG16" i="1"/>
  <c r="W24" i="2" l="1"/>
  <c r="AH16" i="1"/>
  <c r="AK16" i="1" s="1"/>
  <c r="AG17" i="1"/>
  <c r="AH17" i="1" s="1"/>
  <c r="AK17" i="1" s="1"/>
  <c r="W25" i="2" l="1"/>
  <c r="AJ24" i="1"/>
  <c r="AK24" i="1" s="1"/>
  <c r="AJ18" i="1"/>
  <c r="AK18" i="1" s="1"/>
  <c r="AJ23" i="1"/>
  <c r="AK23" i="1" s="1"/>
  <c r="AJ21" i="1"/>
  <c r="AK21" i="1" s="1"/>
  <c r="AJ19" i="1"/>
  <c r="AK19" i="1" s="1"/>
  <c r="AJ17" i="1"/>
  <c r="AJ25" i="1"/>
  <c r="AK25" i="1" s="1"/>
  <c r="AJ22" i="1"/>
  <c r="AK22" i="1" s="1"/>
  <c r="AJ20" i="1"/>
  <c r="AK20" i="1" s="1"/>
  <c r="AE38" i="1" l="1"/>
  <c r="AE33" i="1"/>
  <c r="H11" i="3" s="1"/>
  <c r="AE32" i="1"/>
  <c r="H10" i="3" s="1"/>
  <c r="AE30" i="1"/>
  <c r="H8" i="3" s="1"/>
  <c r="AE31" i="1"/>
  <c r="H9" i="3" s="1"/>
  <c r="AE37" i="1"/>
  <c r="W26" i="2"/>
  <c r="AE35" i="1" l="1"/>
  <c r="H13" i="3" s="1"/>
  <c r="W27" i="2"/>
  <c r="W28" i="2" l="1"/>
  <c r="W43" i="2" l="1"/>
  <c r="G11" i="3" s="1"/>
  <c r="W42" i="2"/>
  <c r="G10" i="3" s="1"/>
  <c r="W41" i="2"/>
  <c r="G9" i="3" s="1"/>
  <c r="W40" i="2"/>
  <c r="G8" i="3" s="1"/>
  <c r="W45" i="2" l="1"/>
  <c r="G13" i="3" s="1"/>
</calcChain>
</file>

<file path=xl/sharedStrings.xml><?xml version="1.0" encoding="utf-8"?>
<sst xmlns="http://schemas.openxmlformats.org/spreadsheetml/2006/main" count="209" uniqueCount="161">
  <si>
    <t>Pebble Count Data Sheet</t>
  </si>
  <si>
    <t>River / Tributary:</t>
  </si>
  <si>
    <t>Susitna River</t>
  </si>
  <si>
    <t>Crew:</t>
  </si>
  <si>
    <t>DT, RT, RK, MP</t>
  </si>
  <si>
    <t xml:space="preserve">  Crew:</t>
  </si>
  <si>
    <t xml:space="preserve">Site: </t>
  </si>
  <si>
    <t>Side channel 21 FA</t>
  </si>
  <si>
    <t xml:space="preserve">PRM: </t>
  </si>
  <si>
    <t>144.9C</t>
  </si>
  <si>
    <t>Side Channel 21 FA</t>
  </si>
  <si>
    <t xml:space="preserve">  PRM: </t>
  </si>
  <si>
    <t>Date / Time:</t>
  </si>
  <si>
    <t>Length &amp; Interval:</t>
  </si>
  <si>
    <t>100': 1'</t>
  </si>
  <si>
    <t>Field Book #</t>
  </si>
  <si>
    <t>Comments:</t>
  </si>
  <si>
    <t>Transect along centre of channel between two vegetated islands</t>
  </si>
  <si>
    <t>Waypoint(s):</t>
  </si>
  <si>
    <t>GPS 1</t>
  </si>
  <si>
    <t>Additional Comments</t>
  </si>
  <si>
    <t>Photo(s) #</t>
  </si>
  <si>
    <t>Camera 1</t>
  </si>
  <si>
    <t>Subsurface sample taken at 20' along transect. Unusual sand deposition pattern at 50' mark, which was not representative of sediment load.</t>
  </si>
  <si>
    <t>Therefore, move subsurface sample to representative location.</t>
  </si>
  <si>
    <t>Size (mm)</t>
  </si>
  <si>
    <t>Left</t>
  </si>
  <si>
    <t>Sum</t>
  </si>
  <si>
    <t xml:space="preserve">Cum % </t>
  </si>
  <si>
    <t>Center</t>
  </si>
  <si>
    <t>Right</t>
  </si>
  <si>
    <t>Cum Ave</t>
  </si>
  <si>
    <t>Pit is 2.0' deep another coarse layer starts at 2.0'. Sample appears very sandy. 2012 flood?</t>
  </si>
  <si>
    <t>&lt; 2</t>
  </si>
  <si>
    <t>Photo Log</t>
  </si>
  <si>
    <t>Photo #</t>
  </si>
  <si>
    <t>Description</t>
  </si>
  <si>
    <t>Bed material at 50' mark on transect.</t>
  </si>
  <si>
    <t>View from 100' mark towards main channel.</t>
  </si>
  <si>
    <t>View from 0' mark (LEW) down side channel</t>
  </si>
  <si>
    <t>View looking up main channel from LEW.</t>
  </si>
  <si>
    <t>View looking D/S from LEW main channel</t>
  </si>
  <si>
    <t>LEFT  COUNT</t>
  </si>
  <si>
    <t>CENTER  COUNT</t>
  </si>
  <si>
    <t>RIGHT  COUNT</t>
  </si>
  <si>
    <t>QC1______________</t>
  </si>
  <si>
    <t>DBT</t>
  </si>
  <si>
    <t>Photo Backup_____________</t>
  </si>
  <si>
    <t>QC1________DBT______</t>
  </si>
  <si>
    <t>Page __2___ of ____2__</t>
  </si>
  <si>
    <t>Results Analysis</t>
  </si>
  <si>
    <t>Field Sieve Data Sheet</t>
  </si>
  <si>
    <t>Wet -16 mm Weight</t>
  </si>
  <si>
    <t>lbs</t>
  </si>
  <si>
    <t>River:</t>
  </si>
  <si>
    <t>Side Channel 21</t>
  </si>
  <si>
    <t>DT, RK, MP, BT</t>
  </si>
  <si>
    <t>Dry -16 mm Weight</t>
  </si>
  <si>
    <t>g  =</t>
  </si>
  <si>
    <t xml:space="preserve">  PRM:</t>
  </si>
  <si>
    <t>% Moisture</t>
  </si>
  <si>
    <t>N/A</t>
  </si>
  <si>
    <t xml:space="preserve">  Comments:</t>
  </si>
  <si>
    <t xml:space="preserve">Very sandy sample- Channel is at approximately </t>
  </si>
  <si>
    <t>Sample Location:</t>
  </si>
  <si>
    <t>Parallel to side channel</t>
  </si>
  <si>
    <t>right angles to main channel. May have low</t>
  </si>
  <si>
    <t>Field Sieve Results</t>
  </si>
  <si>
    <t>Surface/Sub     Subsurface       Bank      Trib Fan      Trib Chan</t>
  </si>
  <si>
    <t>sediment capacity. Removed armour layer at two</t>
  </si>
  <si>
    <t>Raw</t>
  </si>
  <si>
    <t>Adjusted for Moisture</t>
  </si>
  <si>
    <t>Cumulative Weight</t>
  </si>
  <si>
    <t>% Finer Field</t>
  </si>
  <si>
    <t>%Finer Lab</t>
  </si>
  <si>
    <t>Adjusted % Finer Lab</t>
  </si>
  <si>
    <t>Compiled Resuts</t>
  </si>
  <si>
    <t xml:space="preserve">locations and dug holes. High sand content is </t>
  </si>
  <si>
    <t xml:space="preserve">consistent along side channel. </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</si>
  <si>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</si>
  <si>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</si>
  <si>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</si>
  <si>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</si>
  <si>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</si>
  <si>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</si>
  <si>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</si>
  <si>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</si>
  <si>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</si>
  <si>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</si>
  <si>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</si>
  <si>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</si>
  <si>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</si>
  <si>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 xml:space="preserve">  </t>
  </si>
  <si>
    <t>Number</t>
  </si>
  <si>
    <t>Sample Hole RK</t>
  </si>
  <si>
    <t>See pebble count sheet for more photos</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</si>
  <si>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</si>
  <si>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</si>
  <si>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</si>
  <si>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</si>
  <si>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</si>
  <si>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</si>
  <si>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</si>
  <si>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</si>
  <si>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</si>
  <si>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</si>
  <si>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</si>
  <si>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</si>
  <si>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</si>
  <si>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</si>
  <si>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</si>
  <si>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</si>
  <si>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</si>
  <si>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</si>
  <si>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</si>
  <si>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</si>
  <si>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</si>
  <si>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</si>
  <si>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</si>
  <si>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</si>
  <si>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</si>
  <si>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</si>
  <si>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</si>
  <si>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</si>
  <si>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411.3-413</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</si>
  <si>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</si>
  <si>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</si>
  <si>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</si>
  <si>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</si>
  <si>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RK</t>
  </si>
  <si>
    <t>Photo Backup #</t>
  </si>
  <si>
    <t>Page:</t>
  </si>
  <si>
    <t>1 of 1</t>
  </si>
  <si>
    <t>Average</t>
  </si>
  <si>
    <t>D%</t>
  </si>
  <si>
    <t>Gr</t>
  </si>
  <si>
    <t>%Sand</t>
  </si>
  <si>
    <t>%Gravel</t>
  </si>
  <si>
    <t>%Silt/Clay</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</si>
  <si>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</si>
  <si>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</si>
  <si>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</si>
  <si>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</si>
  <si>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</si>
  <si>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</si>
  <si>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</si>
  <si>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</si>
  <si>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</si>
  <si>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</si>
  <si>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</si>
  <si>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</si>
  <si>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</si>
  <si>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</si>
  <si>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</si>
  <si>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</si>
  <si>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</si>
  <si>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</si>
  <si>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Page _1____ of ___2___</t>
  </si>
  <si>
    <t>View looking D/S at sediment sampling location</t>
  </si>
  <si>
    <t xml:space="preserve">Bed material at 20' mark. </t>
  </si>
  <si>
    <t>8/17/2013 1500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</si>
</sst>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8">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63">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7" xfId="0" applyFont="1" applyFill="1" applyBorder="1" applyAlignment="1"/>
    <xf numFmtId="0" fontId="9" fillId="0" borderId="16" xfId="0" applyFont="1" applyFill="1" applyBorder="1" applyAlignment="1"/>
    <xf numFmtId="0" fontId="9" fillId="0" borderId="9"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14"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164" fontId="2" fillId="0" borderId="25" xfId="0" applyNumberFormat="1" applyFont="1" applyBorder="1" applyAlignment="1">
      <alignment horizontal="center"/>
    </xf>
    <xf numFmtId="0" fontId="2" fillId="0" borderId="4" xfId="0" applyFont="1" applyBorder="1" applyAlignment="1">
      <alignment horizontal="left"/>
    </xf>
    <xf numFmtId="164" fontId="2" fillId="4" borderId="4" xfId="0" applyNumberFormat="1" applyFont="1" applyFill="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5" borderId="4" xfId="0" applyFont="1" applyFill="1" applyBorder="1"/>
    <xf numFmtId="0" fontId="2" fillId="6" borderId="4" xfId="0" applyFont="1" applyFill="1" applyBorder="1" applyAlignment="1">
      <alignment horizontal="center" wrapText="1"/>
    </xf>
    <xf numFmtId="0" fontId="2" fillId="6"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9" xfId="0" applyFont="1" applyFill="1" applyBorder="1"/>
    <xf numFmtId="0" fontId="2" fillId="6" borderId="4" xfId="0" applyFont="1" applyFill="1" applyBorder="1"/>
    <xf numFmtId="0" fontId="2" fillId="0" borderId="26"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43" fontId="2" fillId="0" borderId="4" xfId="0" applyNumberFormat="1" applyFont="1" applyBorder="1"/>
    <xf numFmtId="0" fontId="2" fillId="7" borderId="4" xfId="0" quotePrefix="1" applyFont="1" applyFill="1" applyBorder="1" applyAlignment="1">
      <alignment horizontal="center" vertical="center"/>
    </xf>
    <xf numFmtId="0" fontId="2" fillId="7" borderId="4" xfId="0" applyFont="1" applyFill="1" applyBorder="1" applyAlignment="1">
      <alignment horizontal="right" vertical="center" wrapText="1"/>
    </xf>
    <xf numFmtId="164" fontId="2" fillId="0" borderId="9" xfId="0" applyNumberFormat="1" applyFont="1" applyFill="1" applyBorder="1"/>
    <xf numFmtId="0" fontId="2" fillId="7" borderId="4" xfId="0" applyFont="1" applyFill="1" applyBorder="1" applyAlignment="1">
      <alignment horizontal="center" vertical="center"/>
    </xf>
    <xf numFmtId="164" fontId="2" fillId="7" borderId="4" xfId="0" quotePrefix="1" applyNumberFormat="1" applyFont="1" applyFill="1" applyBorder="1" applyAlignment="1">
      <alignment horizontal="center" vertical="center"/>
    </xf>
    <xf numFmtId="0" fontId="2" fillId="7" borderId="0" xfId="0" applyFont="1" applyFill="1" applyBorder="1"/>
    <xf numFmtId="0" fontId="3" fillId="7" borderId="0" xfId="0" applyFont="1" applyFill="1" applyBorder="1"/>
    <xf numFmtId="0" fontId="0" fillId="7" borderId="0" xfId="0" applyFill="1" applyAlignment="1">
      <alignment horizontal="center"/>
    </xf>
    <xf numFmtId="164" fontId="0" fillId="7" borderId="0" xfId="0" applyNumberFormat="1" applyFill="1" applyAlignment="1">
      <alignment horizontal="center"/>
    </xf>
    <xf numFmtId="2" fontId="2" fillId="7" borderId="0" xfId="0" applyNumberFormat="1" applyFont="1" applyFill="1" applyBorder="1"/>
    <xf numFmtId="0" fontId="0" fillId="7" borderId="0" xfId="0" applyFill="1"/>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quotePrefix="1" applyFont="1" applyFill="1" applyBorder="1" applyAlignment="1"/>
    <xf numFmtId="9" fontId="2" fillId="7" borderId="0" xfId="1" applyFont="1" applyFill="1"/>
    <xf numFmtId="164" fontId="2" fillId="7" borderId="4" xfId="0" applyNumberFormat="1" applyFont="1" applyFill="1" applyBorder="1" applyAlignment="1">
      <alignment horizontal="left"/>
    </xf>
    <xf numFmtId="164" fontId="2" fillId="7" borderId="4" xfId="0" quotePrefix="1" applyNumberFormat="1" applyFont="1" applyFill="1" applyBorder="1" applyAlignment="1">
      <alignment horizontal="left"/>
    </xf>
    <xf numFmtId="0" fontId="2" fillId="7" borderId="4" xfId="0" applyFont="1" applyFill="1" applyBorder="1" applyAlignment="1">
      <alignment horizontal="left"/>
    </xf>
    <xf numFmtId="0" fontId="0" fillId="0" borderId="0" xfId="0" applyAlignment="1">
      <alignment vertical="center"/>
    </xf>
    <xf numFmtId="0" fontId="2" fillId="0" borderId="4" xfId="0" applyFont="1" applyFill="1" applyBorder="1" applyAlignment="1">
      <alignment horizontal="left"/>
    </xf>
    <xf numFmtId="0" fontId="11" fillId="0" borderId="4"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4" fillId="0" borderId="0" xfId="0" applyFont="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5"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9"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7"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144.9-FA144</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3</c:v>
                </c:pt>
                <c:pt idx="5">
                  <c:v>4</c:v>
                </c:pt>
                <c:pt idx="6">
                  <c:v>7</c:v>
                </c:pt>
                <c:pt idx="7">
                  <c:v>13</c:v>
                </c:pt>
                <c:pt idx="8">
                  <c:v>27</c:v>
                </c:pt>
                <c:pt idx="9">
                  <c:v>44</c:v>
                </c:pt>
                <c:pt idx="10">
                  <c:v>65</c:v>
                </c:pt>
                <c:pt idx="11">
                  <c:v>78</c:v>
                </c:pt>
                <c:pt idx="12">
                  <c:v>92</c:v>
                </c:pt>
                <c:pt idx="13">
                  <c:v>98</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3</c:v>
                </c:pt>
                <c:pt idx="5">
                  <c:v>4</c:v>
                </c:pt>
                <c:pt idx="6">
                  <c:v>7</c:v>
                </c:pt>
                <c:pt idx="7">
                  <c:v>13</c:v>
                </c:pt>
                <c:pt idx="8">
                  <c:v>27</c:v>
                </c:pt>
                <c:pt idx="9">
                  <c:v>44</c:v>
                </c:pt>
                <c:pt idx="10">
                  <c:v>65</c:v>
                </c:pt>
                <c:pt idx="11">
                  <c:v>78</c:v>
                </c:pt>
                <c:pt idx="12">
                  <c:v>92</c:v>
                </c:pt>
                <c:pt idx="13">
                  <c:v>98</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100</c:v>
                </c:pt>
                <c:pt idx="4">
                  <c:v>100</c:v>
                </c:pt>
                <c:pt idx="5">
                  <c:v>100</c:v>
                </c:pt>
                <c:pt idx="6">
                  <c:v>98.363746766786505</c:v>
                </c:pt>
                <c:pt idx="7">
                  <c:v>95.116413427024341</c:v>
                </c:pt>
                <c:pt idx="8">
                  <c:v>89.930749334070796</c:v>
                </c:pt>
                <c:pt idx="9">
                  <c:v>85.097509014424773</c:v>
                </c:pt>
                <c:pt idx="10">
                  <c:v>74.034832842549562</c:v>
                </c:pt>
                <c:pt idx="11">
                  <c:v>66.376057031251321</c:v>
                </c:pt>
                <c:pt idx="12">
                  <c:v>58.717281219953087</c:v>
                </c:pt>
                <c:pt idx="13">
                  <c:v>49.356555228366368</c:v>
                </c:pt>
                <c:pt idx="14">
                  <c:v>35.740953786058405</c:v>
                </c:pt>
                <c:pt idx="15">
                  <c:v>8.5097509014424784</c:v>
                </c:pt>
                <c:pt idx="16">
                  <c:v>1.7019501802884955</c:v>
                </c:pt>
                <c:pt idx="17">
                  <c:v>0.85097509014424777</c:v>
                </c:pt>
              </c:numCache>
            </c:numRef>
          </c:yVal>
          <c:smooth val="0"/>
        </c:ser>
        <c:dLbls>
          <c:showLegendKey val="0"/>
          <c:showVal val="0"/>
          <c:showCatName val="0"/>
          <c:showSerName val="0"/>
          <c:showPercent val="0"/>
          <c:showBubbleSize val="0"/>
        </c:dLbls>
        <c:axId val="132001792"/>
        <c:axId val="132003712"/>
      </c:scatterChart>
      <c:valAx>
        <c:axId val="13200179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2003712"/>
        <c:crosses val="autoZero"/>
        <c:crossBetween val="midCat"/>
        <c:majorUnit val="10"/>
        <c:minorUnit val="10"/>
      </c:valAx>
      <c:valAx>
        <c:axId val="13200371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200179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59533</xdr:colOff>
      <xdr:row>0</xdr:row>
      <xdr:rowOff>138907</xdr:rowOff>
    </xdr:from>
    <xdr:to>
      <xdr:col>23</xdr:col>
      <xdr:colOff>68581</xdr:colOff>
      <xdr:row>24</xdr:row>
      <xdr:rowOff>268422</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0193" y="138907"/>
          <a:ext cx="7499508" cy="5341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514350</xdr:colOff>
      <xdr:row>0</xdr:row>
      <xdr:rowOff>161925</xdr:rowOff>
    </xdr:from>
    <xdr:to>
      <xdr:col>8</xdr:col>
      <xdr:colOff>621368</xdr:colOff>
      <xdr:row>1</xdr:row>
      <xdr:rowOff>153471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086475" y="161925"/>
          <a:ext cx="1250018" cy="286821"/>
        </a:xfrm>
        <a:prstGeom prst="rect">
          <a:avLst/>
        </a:prstGeom>
      </xdr:spPr>
    </xdr:pic>
    <xdr:clientData/>
  </xdr:twoCellAnchor>
  <xdr:twoCellAnchor editAs="oneCell">
    <xdr:from>
      <xdr:col>10</xdr:col>
      <xdr:colOff>85725</xdr:colOff>
      <xdr:row>1</xdr:row>
      <xdr:rowOff>264243</xdr:rowOff>
    </xdr:from>
    <xdr:to>
      <xdr:col>10</xdr:col>
      <xdr:colOff>587581</xdr:colOff>
      <xdr:row>5</xdr:row>
      <xdr:rowOff>157720</xdr:rowOff>
    </xdr:to>
    <xdr:pic>
      <xdr:nvPicPr>
        <xdr:cNvPr id="5" name="Picture 4"/>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077200" y="559518"/>
          <a:ext cx="501856" cy="750727"/>
        </a:xfrm>
        <a:prstGeom prst="rect">
          <a:avLst/>
        </a:prstGeom>
      </xdr:spPr>
    </xdr:pic>
    <xdr:clientData/>
  </xdr:twoCellAnchor>
  <xdr:twoCellAnchor>
    <xdr:from>
      <xdr:col>2</xdr:col>
      <xdr:colOff>127635</xdr:colOff>
      <xdr:row>6</xdr:row>
      <xdr:rowOff>61850</xdr:rowOff>
    </xdr:from>
    <xdr:to>
      <xdr:col>3</xdr:col>
      <xdr:colOff>120015</xdr:colOff>
      <xdr:row>7</xdr:row>
      <xdr:rowOff>36195</xdr:rowOff>
    </xdr:to>
    <xdr:sp macro="" textlink="">
      <xdr:nvSpPr>
        <xdr:cNvPr id="6" name="Oval 5"/>
        <xdr:cNvSpPr/>
      </xdr:nvSpPr>
      <xdr:spPr>
        <a:xfrm>
          <a:off x="1499235" y="1376300"/>
          <a:ext cx="840105" cy="2315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9694" cy="6288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94" y="5588729"/>
          <a:ext cx="7236160" cy="385922"/>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96" y="5582629"/>
          <a:ext cx="6963324" cy="399819"/>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workbookViewId="0">
      <selection activeCell="K28" sqref="K28"/>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32" width="8.85546875" style="1"/>
    <col min="33" max="33" width="11.140625" style="1" customWidth="1"/>
    <col min="34" max="36" width="8.85546875" style="1"/>
    <col min="37" max="37" width="9.42578125" style="1" customWidth="1"/>
    <col min="38" max="16384" width="8.85546875" style="1"/>
  </cols>
  <sheetData>
    <row r="1" spans="2:37" ht="23.25" x14ac:dyDescent="0.35">
      <c r="AD1" s="137" t="s">
        <v>50</v>
      </c>
      <c r="AE1" s="137"/>
      <c r="AF1" s="137"/>
      <c r="AG1" s="137"/>
      <c r="AH1" s="137"/>
      <c r="AI1" s="137"/>
      <c r="AJ1" s="137"/>
      <c r="AK1" s="137"/>
    </row>
    <row r="2" spans="2:37" ht="23.25" x14ac:dyDescent="0.35">
      <c r="B2" s="137" t="s">
        <v>51</v>
      </c>
      <c r="C2" s="137"/>
      <c r="D2" s="137"/>
      <c r="E2" s="137"/>
      <c r="F2" s="137"/>
      <c r="G2" s="137"/>
      <c r="H2" s="137"/>
      <c r="I2" s="137"/>
      <c r="J2" s="137"/>
      <c r="K2" s="137"/>
      <c r="AD2" s="1" t="s">
        <v>52</v>
      </c>
      <c r="AF2" s="56">
        <f>+AE26</f>
        <v>353.8</v>
      </c>
      <c r="AG2" s="1" t="s">
        <v>53</v>
      </c>
    </row>
    <row r="3" spans="2:37" x14ac:dyDescent="0.2">
      <c r="B3" s="8" t="s">
        <v>54</v>
      </c>
      <c r="C3" s="6"/>
      <c r="D3" s="20" t="s">
        <v>55</v>
      </c>
      <c r="E3" s="6"/>
      <c r="F3" s="1" t="s">
        <v>5</v>
      </c>
      <c r="G3" s="6" t="s">
        <v>56</v>
      </c>
      <c r="H3" s="6"/>
      <c r="I3" s="6"/>
      <c r="J3" s="6"/>
      <c r="K3" s="8"/>
      <c r="AD3" s="1" t="s">
        <v>57</v>
      </c>
      <c r="AF3" s="57">
        <v>8278</v>
      </c>
      <c r="AG3" s="1" t="s">
        <v>58</v>
      </c>
      <c r="AH3" s="58">
        <f>+AF3*0.0022046</f>
        <v>18.249678800000002</v>
      </c>
      <c r="AI3" s="1" t="s">
        <v>53</v>
      </c>
    </row>
    <row r="4" spans="2:37" ht="13.9" x14ac:dyDescent="0.25">
      <c r="B4" s="8" t="s">
        <v>12</v>
      </c>
      <c r="C4" s="10" t="s">
        <v>160</v>
      </c>
      <c r="D4" s="59"/>
      <c r="E4" s="9"/>
      <c r="F4" s="13" t="s">
        <v>59</v>
      </c>
      <c r="G4" s="9">
        <v>144.9</v>
      </c>
      <c r="H4" s="9"/>
      <c r="I4" s="9"/>
      <c r="J4" s="9"/>
      <c r="K4" s="8"/>
      <c r="AD4" s="1" t="s">
        <v>60</v>
      </c>
      <c r="AF4" s="127">
        <f>1-AH3/H42</f>
        <v>4.4519434554973758E-2</v>
      </c>
    </row>
    <row r="5" spans="2:37" ht="15" thickBot="1" x14ac:dyDescent="0.25">
      <c r="B5" s="8" t="s">
        <v>15</v>
      </c>
      <c r="C5" s="9" t="s">
        <v>61</v>
      </c>
      <c r="D5" s="16"/>
      <c r="E5" s="9"/>
      <c r="F5" s="13" t="s">
        <v>62</v>
      </c>
      <c r="G5" s="15" t="s">
        <v>63</v>
      </c>
      <c r="H5" s="9"/>
      <c r="I5" s="9"/>
      <c r="J5" s="9"/>
      <c r="K5" s="8"/>
      <c r="AF5" s="60"/>
    </row>
    <row r="6" spans="2:37" ht="13.5" customHeight="1" x14ac:dyDescent="0.2">
      <c r="B6" s="8" t="s">
        <v>64</v>
      </c>
      <c r="C6" s="9"/>
      <c r="D6" s="9" t="s">
        <v>65</v>
      </c>
      <c r="E6" s="9"/>
      <c r="F6" s="13"/>
      <c r="G6" s="9" t="s">
        <v>66</v>
      </c>
      <c r="H6" s="9"/>
      <c r="I6" s="9"/>
      <c r="J6" s="9"/>
      <c r="K6" s="8"/>
      <c r="AE6" s="138" t="s">
        <v>67</v>
      </c>
      <c r="AF6" s="139"/>
      <c r="AG6" s="139"/>
      <c r="AH6" s="140"/>
    </row>
    <row r="7" spans="2:37" ht="20.25" customHeight="1" x14ac:dyDescent="0.2">
      <c r="B7" s="6" t="s">
        <v>68</v>
      </c>
      <c r="C7" s="9"/>
      <c r="D7" s="9"/>
      <c r="E7" s="9"/>
      <c r="F7" s="13"/>
      <c r="G7" s="9" t="s">
        <v>69</v>
      </c>
      <c r="H7" s="9"/>
      <c r="I7" s="9"/>
      <c r="J7" s="9"/>
      <c r="K7" s="8"/>
      <c r="AE7" s="61" t="s">
        <v>70</v>
      </c>
      <c r="AF7" s="61" t="s">
        <v>71</v>
      </c>
      <c r="AG7" s="62" t="s">
        <v>72</v>
      </c>
      <c r="AH7" s="62" t="s">
        <v>73</v>
      </c>
      <c r="AI7" s="62" t="s">
        <v>74</v>
      </c>
      <c r="AJ7" s="62" t="s">
        <v>75</v>
      </c>
      <c r="AK7" s="62" t="s">
        <v>76</v>
      </c>
    </row>
    <row r="8" spans="2:37" ht="13.9" x14ac:dyDescent="0.25">
      <c r="B8" s="8" t="s">
        <v>18</v>
      </c>
      <c r="C8" s="9"/>
      <c r="D8" s="9" t="s">
        <v>19</v>
      </c>
      <c r="E8" s="9"/>
      <c r="G8" s="9" t="s">
        <v>77</v>
      </c>
      <c r="H8" s="9"/>
      <c r="I8" s="9"/>
      <c r="J8" s="9"/>
      <c r="K8" s="8"/>
      <c r="AD8" s="128">
        <v>360</v>
      </c>
      <c r="AE8" s="63">
        <f t="shared" ref="AE8:AE17" si="0">+H30</f>
        <v>0</v>
      </c>
      <c r="AF8" s="63">
        <f>+AE8</f>
        <v>0</v>
      </c>
      <c r="AG8" s="63">
        <f>+AF8</f>
        <v>0</v>
      </c>
      <c r="AH8" s="64">
        <f>1-(AG8/AF$27)</f>
        <v>1</v>
      </c>
      <c r="AI8" s="65"/>
      <c r="AJ8" s="65"/>
      <c r="AK8" s="112">
        <f t="shared" ref="AK8:AK17" si="1">+AH8*100</f>
        <v>100</v>
      </c>
    </row>
    <row r="9" spans="2:37" ht="14.45" thickBot="1" x14ac:dyDescent="0.3">
      <c r="G9" s="9" t="s">
        <v>78</v>
      </c>
      <c r="H9" s="9"/>
      <c r="I9" s="9"/>
      <c r="J9" s="9"/>
      <c r="K9" s="8"/>
      <c r="AD9" s="128">
        <v>256</v>
      </c>
      <c r="AE9" s="63">
        <f>+H31</f>
        <v>0</v>
      </c>
      <c r="AF9" s="63">
        <f t="shared" ref="AF9:AF17" si="2">+AE9</f>
        <v>0</v>
      </c>
      <c r="AG9" s="66">
        <f>+AF9+AG8</f>
        <v>0</v>
      </c>
      <c r="AH9" s="64">
        <f>1-(AG9/AF$27)</f>
        <v>1</v>
      </c>
      <c r="AI9" s="65"/>
      <c r="AJ9" s="65"/>
      <c r="AK9" s="112">
        <f t="shared" si="1"/>
        <v>100</v>
      </c>
    </row>
    <row r="10" spans="2:37" ht="18" thickBot="1" x14ac:dyDescent="0.35">
      <c r="B10" s="141" t="s">
        <v>79</v>
      </c>
      <c r="C10" s="142"/>
      <c r="D10" s="142"/>
      <c r="E10" s="143"/>
      <c r="G10" s="12"/>
      <c r="H10" s="12"/>
      <c r="I10" s="12"/>
      <c r="J10" s="12"/>
      <c r="AD10" s="128">
        <v>180</v>
      </c>
      <c r="AE10" s="63">
        <f>+H32</f>
        <v>0</v>
      </c>
      <c r="AF10" s="63">
        <f t="shared" si="2"/>
        <v>0</v>
      </c>
      <c r="AG10" s="66">
        <f t="shared" ref="AG10:AG17" si="3">+AF10+AG9</f>
        <v>0</v>
      </c>
      <c r="AH10" s="64">
        <f t="shared" ref="AH10:AH17" si="4">1-(AG10/AF$27)</f>
        <v>1</v>
      </c>
      <c r="AI10" s="65"/>
      <c r="AJ10" s="65"/>
      <c r="AK10" s="112">
        <f t="shared" si="1"/>
        <v>100</v>
      </c>
    </row>
    <row r="11" spans="2:37" ht="16.149999999999999" x14ac:dyDescent="0.35">
      <c r="B11" s="67" t="s">
        <v>80</v>
      </c>
      <c r="C11" s="67" t="s">
        <v>81</v>
      </c>
      <c r="D11" s="67" t="s">
        <v>82</v>
      </c>
      <c r="E11" s="67" t="s">
        <v>83</v>
      </c>
      <c r="G11" s="47" t="s">
        <v>84</v>
      </c>
      <c r="H11" s="6">
        <v>250</v>
      </c>
      <c r="I11" s="6"/>
      <c r="J11" s="8"/>
      <c r="AD11" s="128">
        <v>128</v>
      </c>
      <c r="AE11" s="63">
        <f t="shared" si="0"/>
        <v>0</v>
      </c>
      <c r="AF11" s="63">
        <f t="shared" si="2"/>
        <v>0</v>
      </c>
      <c r="AG11" s="66">
        <f t="shared" si="3"/>
        <v>0</v>
      </c>
      <c r="AH11" s="64">
        <f t="shared" si="4"/>
        <v>1</v>
      </c>
      <c r="AI11" s="65"/>
      <c r="AJ11" s="65"/>
      <c r="AK11" s="112">
        <f t="shared" si="1"/>
        <v>100</v>
      </c>
    </row>
    <row r="12" spans="2:37" ht="27.6" x14ac:dyDescent="0.25">
      <c r="B12" s="68" t="s">
        <v>85</v>
      </c>
      <c r="C12" s="69" t="s">
        <v>86</v>
      </c>
      <c r="D12" s="69" t="s">
        <v>87</v>
      </c>
      <c r="E12" s="69" t="s">
        <v>88</v>
      </c>
      <c r="G12" s="47" t="s">
        <v>89</v>
      </c>
      <c r="H12" s="70">
        <v>2</v>
      </c>
      <c r="I12" s="9"/>
      <c r="AD12" s="129">
        <v>90</v>
      </c>
      <c r="AE12" s="63">
        <f t="shared" si="0"/>
        <v>0</v>
      </c>
      <c r="AF12" s="63">
        <f t="shared" si="2"/>
        <v>0</v>
      </c>
      <c r="AG12" s="66">
        <f t="shared" si="3"/>
        <v>0</v>
      </c>
      <c r="AH12" s="64">
        <f t="shared" si="4"/>
        <v>1</v>
      </c>
      <c r="AI12" s="65"/>
      <c r="AJ12" s="65"/>
      <c r="AK12" s="112">
        <f t="shared" si="1"/>
        <v>100</v>
      </c>
    </row>
    <row r="13" spans="2:37" ht="13.9" x14ac:dyDescent="0.25">
      <c r="B13" s="68"/>
      <c r="C13" s="69"/>
      <c r="D13" s="69"/>
      <c r="E13" s="71" t="s">
        <v>90</v>
      </c>
      <c r="G13" s="47"/>
      <c r="H13" s="12"/>
      <c r="I13" s="12"/>
      <c r="AD13" s="129">
        <v>64</v>
      </c>
      <c r="AE13" s="63">
        <f t="shared" si="0"/>
        <v>0</v>
      </c>
      <c r="AF13" s="63">
        <f t="shared" si="2"/>
        <v>0</v>
      </c>
      <c r="AG13" s="66">
        <f t="shared" si="3"/>
        <v>0</v>
      </c>
      <c r="AH13" s="64">
        <f t="shared" si="4"/>
        <v>1</v>
      </c>
      <c r="AI13" s="65"/>
      <c r="AJ13" s="65"/>
      <c r="AK13" s="112">
        <f t="shared" si="1"/>
        <v>100</v>
      </c>
    </row>
    <row r="14" spans="2:37" ht="13.9" x14ac:dyDescent="0.25">
      <c r="B14" s="72">
        <v>1</v>
      </c>
      <c r="C14" s="73">
        <v>1.7</v>
      </c>
      <c r="D14" s="73">
        <v>52.4</v>
      </c>
      <c r="E14" s="73">
        <f>+D14-C14</f>
        <v>50.699999999999996</v>
      </c>
      <c r="G14" s="47" t="s">
        <v>91</v>
      </c>
      <c r="H14" s="74">
        <v>411.3</v>
      </c>
      <c r="I14" s="6"/>
      <c r="AD14" s="128">
        <v>45</v>
      </c>
      <c r="AE14" s="63">
        <f t="shared" si="0"/>
        <v>6.4999999999999991</v>
      </c>
      <c r="AF14" s="63">
        <f t="shared" si="2"/>
        <v>6.4999999999999991</v>
      </c>
      <c r="AG14" s="66">
        <f t="shared" si="3"/>
        <v>6.4999999999999991</v>
      </c>
      <c r="AH14" s="64">
        <f t="shared" si="4"/>
        <v>0.98363746766786508</v>
      </c>
      <c r="AI14" s="65"/>
      <c r="AJ14" s="65"/>
      <c r="AK14" s="112">
        <f t="shared" si="1"/>
        <v>98.363746766786505</v>
      </c>
    </row>
    <row r="15" spans="2:37" ht="13.9" x14ac:dyDescent="0.25">
      <c r="B15" s="72">
        <v>2</v>
      </c>
      <c r="C15" s="73">
        <v>1.7</v>
      </c>
      <c r="D15" s="73">
        <v>67.5</v>
      </c>
      <c r="E15" s="73">
        <f t="shared" ref="E15:E20" si="5">+D15-C15</f>
        <v>65.8</v>
      </c>
      <c r="L15" s="8"/>
      <c r="M15" s="8"/>
      <c r="N15" s="8"/>
      <c r="O15" s="8"/>
      <c r="AD15" s="128">
        <v>32</v>
      </c>
      <c r="AE15" s="63">
        <f t="shared" si="0"/>
        <v>12.9</v>
      </c>
      <c r="AF15" s="63">
        <f t="shared" si="2"/>
        <v>12.9</v>
      </c>
      <c r="AG15" s="66">
        <f t="shared" si="3"/>
        <v>19.399999999999999</v>
      </c>
      <c r="AH15" s="64">
        <f t="shared" si="4"/>
        <v>0.95116413427024338</v>
      </c>
      <c r="AI15" s="65"/>
      <c r="AJ15" s="65"/>
      <c r="AK15" s="112">
        <f t="shared" si="1"/>
        <v>95.116413427024341</v>
      </c>
    </row>
    <row r="16" spans="2:37" ht="13.9" x14ac:dyDescent="0.25">
      <c r="B16" s="72">
        <v>3</v>
      </c>
      <c r="C16" s="73">
        <v>1.7</v>
      </c>
      <c r="D16" s="73">
        <v>62</v>
      </c>
      <c r="E16" s="73">
        <f t="shared" si="5"/>
        <v>60.3</v>
      </c>
      <c r="G16" s="144" t="s">
        <v>34</v>
      </c>
      <c r="H16" s="145"/>
      <c r="I16" s="145"/>
      <c r="J16" s="145"/>
      <c r="L16" s="8"/>
      <c r="M16" s="8"/>
      <c r="N16" s="8"/>
      <c r="O16" s="8"/>
      <c r="AD16" s="128">
        <v>22.5</v>
      </c>
      <c r="AE16" s="63">
        <f t="shared" si="0"/>
        <v>20.6</v>
      </c>
      <c r="AF16" s="63">
        <f t="shared" si="2"/>
        <v>20.6</v>
      </c>
      <c r="AG16" s="66">
        <f t="shared" si="3"/>
        <v>40</v>
      </c>
      <c r="AH16" s="64">
        <f t="shared" si="4"/>
        <v>0.89930749334070792</v>
      </c>
      <c r="AI16" s="65"/>
      <c r="AJ16" s="65"/>
      <c r="AK16" s="112">
        <f t="shared" si="1"/>
        <v>89.930749334070796</v>
      </c>
    </row>
    <row r="17" spans="2:37" ht="18" customHeight="1" x14ac:dyDescent="0.25">
      <c r="B17" s="72">
        <v>4</v>
      </c>
      <c r="C17" s="73">
        <v>1.7</v>
      </c>
      <c r="D17" s="73">
        <v>62.6</v>
      </c>
      <c r="E17" s="73">
        <f t="shared" si="5"/>
        <v>60.9</v>
      </c>
      <c r="F17" s="13" t="s">
        <v>92</v>
      </c>
      <c r="G17" s="72" t="s">
        <v>93</v>
      </c>
      <c r="H17" s="146" t="s">
        <v>36</v>
      </c>
      <c r="I17" s="146"/>
      <c r="J17" s="146"/>
      <c r="K17" s="146"/>
      <c r="L17" s="75"/>
      <c r="M17" s="75"/>
      <c r="N17" s="75"/>
      <c r="O17" s="75"/>
      <c r="AD17" s="128">
        <v>16</v>
      </c>
      <c r="AE17" s="63">
        <f t="shared" si="0"/>
        <v>19.2</v>
      </c>
      <c r="AF17" s="63">
        <f t="shared" si="2"/>
        <v>19.2</v>
      </c>
      <c r="AG17" s="66">
        <f t="shared" si="3"/>
        <v>59.2</v>
      </c>
      <c r="AH17" s="64">
        <f t="shared" si="4"/>
        <v>0.85097509014424777</v>
      </c>
      <c r="AI17" s="76">
        <v>100</v>
      </c>
      <c r="AJ17" s="64">
        <f>+AI17/100*AH$17</f>
        <v>0.85097509014424777</v>
      </c>
      <c r="AK17" s="112">
        <f t="shared" si="1"/>
        <v>85.097509014424773</v>
      </c>
    </row>
    <row r="18" spans="2:37" ht="18" customHeight="1" x14ac:dyDescent="0.25">
      <c r="B18" s="72">
        <v>5</v>
      </c>
      <c r="C18" s="73">
        <v>1.7</v>
      </c>
      <c r="D18" s="73">
        <v>63.5</v>
      </c>
      <c r="E18" s="73">
        <f t="shared" si="5"/>
        <v>61.8</v>
      </c>
      <c r="G18" s="77">
        <v>987</v>
      </c>
      <c r="H18" s="132" t="s">
        <v>94</v>
      </c>
      <c r="I18" s="132"/>
      <c r="J18" s="132"/>
      <c r="K18" s="132"/>
      <c r="L18" s="78"/>
      <c r="M18" s="78"/>
      <c r="N18" s="78"/>
      <c r="O18" s="78"/>
      <c r="AD18" s="128">
        <v>8</v>
      </c>
      <c r="AE18" s="65"/>
      <c r="AF18" s="65"/>
      <c r="AG18" s="65"/>
      <c r="AH18" s="65"/>
      <c r="AI18" s="76">
        <v>87</v>
      </c>
      <c r="AJ18" s="64">
        <f t="shared" ref="AJ18:AJ25" si="6">+AI18/100*AH$17</f>
        <v>0.74034832842549558</v>
      </c>
      <c r="AK18" s="112">
        <f t="shared" ref="AK18:AK25" si="7">+AJ18*100</f>
        <v>74.034832842549562</v>
      </c>
    </row>
    <row r="19" spans="2:37" ht="18" customHeight="1" x14ac:dyDescent="0.25">
      <c r="B19" s="72">
        <v>6</v>
      </c>
      <c r="C19" s="73">
        <v>1.7</v>
      </c>
      <c r="D19" s="73">
        <v>71.400000000000006</v>
      </c>
      <c r="E19" s="73">
        <f t="shared" si="5"/>
        <v>69.7</v>
      </c>
      <c r="G19" s="77"/>
      <c r="H19" s="132" t="s">
        <v>95</v>
      </c>
      <c r="I19" s="132"/>
      <c r="J19" s="132"/>
      <c r="K19" s="132"/>
      <c r="L19" s="78"/>
      <c r="M19" s="78"/>
      <c r="N19" s="78"/>
      <c r="O19" s="78"/>
      <c r="AD19" s="128">
        <v>4</v>
      </c>
      <c r="AE19" s="65"/>
      <c r="AF19" s="65"/>
      <c r="AG19" s="65"/>
      <c r="AH19" s="65"/>
      <c r="AI19" s="76">
        <v>78</v>
      </c>
      <c r="AJ19" s="64">
        <f t="shared" si="6"/>
        <v>0.66376057031251323</v>
      </c>
      <c r="AK19" s="112">
        <f t="shared" si="7"/>
        <v>66.376057031251321</v>
      </c>
    </row>
    <row r="20" spans="2:37" ht="18" customHeight="1" x14ac:dyDescent="0.25">
      <c r="B20" s="72">
        <v>7</v>
      </c>
      <c r="C20" s="73">
        <v>1.7</v>
      </c>
      <c r="D20" s="73">
        <v>43.8</v>
      </c>
      <c r="E20" s="73">
        <f t="shared" si="5"/>
        <v>42.099999999999994</v>
      </c>
      <c r="G20" s="80"/>
      <c r="H20" s="132"/>
      <c r="I20" s="132"/>
      <c r="J20" s="132"/>
      <c r="K20" s="132"/>
      <c r="L20" s="78"/>
      <c r="M20" s="78"/>
      <c r="N20" s="78"/>
      <c r="O20" s="78"/>
      <c r="AD20" s="128">
        <v>2</v>
      </c>
      <c r="AE20" s="65"/>
      <c r="AF20" s="65"/>
      <c r="AG20" s="65"/>
      <c r="AH20" s="65"/>
      <c r="AI20" s="76">
        <v>69</v>
      </c>
      <c r="AJ20" s="64">
        <f t="shared" si="6"/>
        <v>0.58717281219953088</v>
      </c>
      <c r="AK20" s="112">
        <f t="shared" si="7"/>
        <v>58.717281219953087</v>
      </c>
    </row>
    <row r="21" spans="2:37" ht="18" customHeight="1" x14ac:dyDescent="0.25">
      <c r="B21" s="72">
        <v>8</v>
      </c>
      <c r="C21" s="73"/>
      <c r="D21" s="73"/>
      <c r="E21" s="79"/>
      <c r="G21" s="77"/>
      <c r="H21" s="132"/>
      <c r="I21" s="132"/>
      <c r="J21" s="132"/>
      <c r="K21" s="132"/>
      <c r="L21" s="78"/>
      <c r="M21" s="78"/>
      <c r="N21" s="78"/>
      <c r="O21" s="78"/>
      <c r="AD21" s="128">
        <v>1</v>
      </c>
      <c r="AE21" s="65"/>
      <c r="AF21" s="65"/>
      <c r="AG21" s="65"/>
      <c r="AH21" s="65"/>
      <c r="AI21" s="76">
        <v>58</v>
      </c>
      <c r="AJ21" s="64">
        <f t="shared" si="6"/>
        <v>0.49356555228366367</v>
      </c>
      <c r="AK21" s="112">
        <f t="shared" si="7"/>
        <v>49.356555228366368</v>
      </c>
    </row>
    <row r="22" spans="2:37" ht="18" customHeight="1" x14ac:dyDescent="0.25">
      <c r="B22" s="72">
        <v>9</v>
      </c>
      <c r="C22" s="73"/>
      <c r="D22" s="73"/>
      <c r="E22" s="79"/>
      <c r="G22" s="77"/>
      <c r="H22" s="132"/>
      <c r="I22" s="132"/>
      <c r="J22" s="132"/>
      <c r="K22" s="132"/>
      <c r="L22" s="78"/>
      <c r="M22" s="78"/>
      <c r="N22" s="78"/>
      <c r="O22" s="78"/>
      <c r="AD22" s="128">
        <v>0.5</v>
      </c>
      <c r="AE22" s="65"/>
      <c r="AF22" s="65"/>
      <c r="AG22" s="65"/>
      <c r="AH22" s="65"/>
      <c r="AI22" s="76">
        <v>42</v>
      </c>
      <c r="AJ22" s="64">
        <f t="shared" si="6"/>
        <v>0.35740953786058405</v>
      </c>
      <c r="AK22" s="112">
        <f t="shared" si="7"/>
        <v>35.740953786058405</v>
      </c>
    </row>
    <row r="23" spans="2:37" ht="18" customHeight="1" x14ac:dyDescent="0.25">
      <c r="B23" s="72">
        <v>10</v>
      </c>
      <c r="C23" s="73"/>
      <c r="D23" s="73"/>
      <c r="E23" s="79"/>
      <c r="G23" s="77"/>
      <c r="H23" s="132"/>
      <c r="I23" s="132"/>
      <c r="J23" s="132"/>
      <c r="K23" s="132"/>
      <c r="L23" s="78"/>
      <c r="M23" s="78"/>
      <c r="N23" s="78"/>
      <c r="O23" s="78"/>
      <c r="AD23" s="130">
        <v>0.25</v>
      </c>
      <c r="AE23" s="65"/>
      <c r="AF23" s="65"/>
      <c r="AG23" s="65"/>
      <c r="AH23" s="65"/>
      <c r="AI23" s="76">
        <v>10</v>
      </c>
      <c r="AJ23" s="64">
        <f t="shared" si="6"/>
        <v>8.5097509014424783E-2</v>
      </c>
      <c r="AK23" s="112">
        <f t="shared" si="7"/>
        <v>8.5097509014424784</v>
      </c>
    </row>
    <row r="24" spans="2:37" ht="18" customHeight="1" x14ac:dyDescent="0.25">
      <c r="B24" s="72" t="s">
        <v>96</v>
      </c>
      <c r="C24" s="73">
        <f>SUM(C14:C23)</f>
        <v>11.899999999999999</v>
      </c>
      <c r="D24" s="73">
        <f>SUM(D14:D23)</f>
        <v>423.2</v>
      </c>
      <c r="E24" s="81">
        <f>SUM(E14:E20)</f>
        <v>411.29999999999995</v>
      </c>
      <c r="G24" s="77"/>
      <c r="H24" s="132"/>
      <c r="I24" s="132"/>
      <c r="J24" s="132"/>
      <c r="K24" s="132"/>
      <c r="L24" s="78"/>
      <c r="M24" s="78"/>
      <c r="N24" s="78"/>
      <c r="O24" s="78"/>
      <c r="AD24" s="130">
        <v>0.125</v>
      </c>
      <c r="AE24" s="65"/>
      <c r="AF24" s="65"/>
      <c r="AG24" s="65"/>
      <c r="AH24" s="65"/>
      <c r="AI24" s="76">
        <v>2</v>
      </c>
      <c r="AJ24" s="64">
        <f t="shared" si="6"/>
        <v>1.7019501802884956E-2</v>
      </c>
      <c r="AK24" s="112">
        <f t="shared" si="7"/>
        <v>1.7019501802884955</v>
      </c>
    </row>
    <row r="25" spans="2:37" ht="25.15" customHeight="1" x14ac:dyDescent="0.25">
      <c r="B25" s="17"/>
      <c r="C25" s="8"/>
      <c r="D25" s="8"/>
      <c r="E25" s="8"/>
      <c r="G25" s="82"/>
      <c r="H25" s="83"/>
      <c r="I25" s="83"/>
      <c r="J25" s="84"/>
      <c r="K25" s="85" t="s">
        <v>97</v>
      </c>
      <c r="L25" s="8"/>
      <c r="M25" s="8"/>
      <c r="N25" s="8"/>
      <c r="O25" s="8"/>
      <c r="AD25" s="130">
        <v>6.25E-2</v>
      </c>
      <c r="AE25" s="63"/>
      <c r="AF25" s="63"/>
      <c r="AG25" s="63"/>
      <c r="AH25" s="63"/>
      <c r="AI25" s="63">
        <v>1</v>
      </c>
      <c r="AJ25" s="64">
        <f t="shared" si="6"/>
        <v>8.5097509014424779E-3</v>
      </c>
      <c r="AK25" s="112">
        <f t="shared" si="7"/>
        <v>0.85097509014424777</v>
      </c>
    </row>
    <row r="26" spans="2:37" ht="20.45" customHeight="1" x14ac:dyDescent="0.2">
      <c r="B26" s="133" t="s">
        <v>98</v>
      </c>
      <c r="C26" s="133"/>
      <c r="D26" s="133"/>
      <c r="E26" s="133"/>
      <c r="F26" s="133"/>
      <c r="G26" s="133"/>
      <c r="H26" s="133"/>
      <c r="I26" s="133"/>
      <c r="J26" s="86"/>
      <c r="K26" s="86"/>
      <c r="L26" s="8"/>
      <c r="M26" s="8"/>
      <c r="N26" s="8"/>
      <c r="O26" s="8"/>
      <c r="AE26" s="56">
        <f>+H40</f>
        <v>353.8</v>
      </c>
      <c r="AF26" s="1">
        <f>+AE26*(1-AF4)</f>
        <v>338.04902405445029</v>
      </c>
      <c r="AG26" s="56"/>
    </row>
    <row r="27" spans="2:37" x14ac:dyDescent="0.2">
      <c r="B27" s="87" t="s">
        <v>80</v>
      </c>
      <c r="C27" s="87" t="s">
        <v>81</v>
      </c>
      <c r="D27" s="87" t="s">
        <v>82</v>
      </c>
      <c r="E27" s="87" t="s">
        <v>83</v>
      </c>
      <c r="F27" s="87" t="s">
        <v>99</v>
      </c>
      <c r="G27" s="87" t="s">
        <v>100</v>
      </c>
      <c r="H27" s="87" t="s">
        <v>101</v>
      </c>
      <c r="I27" s="87" t="s">
        <v>102</v>
      </c>
      <c r="J27" s="88"/>
      <c r="K27" s="88"/>
      <c r="AE27" s="1">
        <f>SUM(AE8:AE26)</f>
        <v>413</v>
      </c>
      <c r="AF27" s="1">
        <f>SUM(AF8:AF26)</f>
        <v>397.24902405445027</v>
      </c>
      <c r="AG27" s="56"/>
    </row>
    <row r="28" spans="2:37" ht="75.599999999999994" customHeight="1" x14ac:dyDescent="0.2">
      <c r="B28" s="62" t="s">
        <v>103</v>
      </c>
      <c r="C28" s="89" t="s">
        <v>104</v>
      </c>
      <c r="D28" s="62" t="s">
        <v>105</v>
      </c>
      <c r="E28" s="62" t="s">
        <v>106</v>
      </c>
      <c r="F28" s="62" t="s">
        <v>107</v>
      </c>
      <c r="G28" s="62" t="s">
        <v>108</v>
      </c>
      <c r="H28" s="62" t="s">
        <v>109</v>
      </c>
      <c r="I28" s="62" t="s">
        <v>110</v>
      </c>
      <c r="J28" s="90"/>
      <c r="K28" s="90"/>
      <c r="N28" s="90"/>
    </row>
    <row r="29" spans="2:37" ht="20.45" customHeight="1" x14ac:dyDescent="0.25">
      <c r="B29" s="63"/>
      <c r="C29" s="71"/>
      <c r="D29" s="62"/>
      <c r="E29" s="62"/>
      <c r="F29" s="62"/>
      <c r="G29" s="71" t="s">
        <v>111</v>
      </c>
      <c r="H29" s="71" t="s">
        <v>112</v>
      </c>
      <c r="I29" s="71" t="s">
        <v>113</v>
      </c>
      <c r="J29" s="91"/>
      <c r="K29" s="91"/>
      <c r="R29" s="92"/>
      <c r="AD29" s="120" t="s">
        <v>134</v>
      </c>
      <c r="AE29" s="120" t="s">
        <v>25</v>
      </c>
    </row>
    <row r="30" spans="2:37" ht="20.45" customHeight="1" x14ac:dyDescent="0.25">
      <c r="B30" s="77" t="s">
        <v>114</v>
      </c>
      <c r="C30" s="71"/>
      <c r="D30" s="62"/>
      <c r="E30" s="62"/>
      <c r="F30" s="62"/>
      <c r="G30" s="62"/>
      <c r="H30" s="62"/>
      <c r="I30" s="62"/>
      <c r="J30" s="91"/>
      <c r="K30" s="91"/>
      <c r="AD30" s="120">
        <v>16</v>
      </c>
      <c r="AE30" s="121">
        <f ca="1">10^(FORECAST(AD30,LOG(OFFSET(AD$8:AD$25,MATCH(AD30,AK$8:AK$25,-1)-1,0,2)),OFFSET(AK$8:AK$25,MATCH(AD30,AK$8:AK$25,-1)-1,0,2)))</f>
        <v>0.30251136826704034</v>
      </c>
    </row>
    <row r="31" spans="2:37" ht="20.45" customHeight="1" x14ac:dyDescent="0.25">
      <c r="B31" s="77" t="s">
        <v>115</v>
      </c>
      <c r="C31" s="73"/>
      <c r="D31" s="62"/>
      <c r="E31" s="62"/>
      <c r="F31" s="62"/>
      <c r="G31" s="62"/>
      <c r="H31" s="62"/>
      <c r="I31" s="93"/>
      <c r="J31" s="91"/>
      <c r="K31" s="91"/>
      <c r="AD31" s="120">
        <v>50</v>
      </c>
      <c r="AE31" s="121">
        <f t="shared" ref="AE31:AE33" ca="1" si="8">10^(FORECAST(AD31,LOG(OFFSET(AD$8:AD$25,MATCH(AD31,AK$8:AK$25,-1)-1,0,2)),OFFSET(AK$8:AK$25,MATCH(AD31,AK$8:AK$25,-1)-1,0,2)))</f>
        <v>1.0487994018921576</v>
      </c>
    </row>
    <row r="32" spans="2:37" ht="20.45" customHeight="1" x14ac:dyDescent="0.25">
      <c r="B32" s="77" t="s">
        <v>116</v>
      </c>
      <c r="C32" s="73"/>
      <c r="D32" s="62"/>
      <c r="E32" s="62"/>
      <c r="F32" s="62"/>
      <c r="G32" s="62"/>
      <c r="H32" s="62"/>
      <c r="I32" s="93"/>
      <c r="J32" s="91"/>
      <c r="K32" s="91"/>
      <c r="AD32" s="120">
        <v>84</v>
      </c>
      <c r="AE32" s="121">
        <f t="shared" ca="1" si="8"/>
        <v>14.936722624724871</v>
      </c>
    </row>
    <row r="33" spans="2:31" ht="15" x14ac:dyDescent="0.25">
      <c r="B33" s="77" t="s">
        <v>117</v>
      </c>
      <c r="C33" s="73"/>
      <c r="D33" s="93"/>
      <c r="E33" s="93"/>
      <c r="F33" s="93"/>
      <c r="G33" s="93"/>
      <c r="H33" s="93"/>
      <c r="I33" s="93"/>
      <c r="J33" s="91"/>
      <c r="K33" s="91"/>
      <c r="AD33" s="120">
        <v>90</v>
      </c>
      <c r="AE33" s="121">
        <f t="shared" ca="1" si="8"/>
        <v>22.606081247592513</v>
      </c>
    </row>
    <row r="34" spans="2:31" ht="15" x14ac:dyDescent="0.25">
      <c r="B34" s="94" t="s">
        <v>118</v>
      </c>
      <c r="C34" s="73"/>
      <c r="D34" s="73"/>
      <c r="E34" s="73"/>
      <c r="F34" s="93"/>
      <c r="G34" s="93"/>
      <c r="H34" s="93"/>
      <c r="I34" s="93"/>
      <c r="J34" s="8"/>
      <c r="K34" s="8"/>
      <c r="AD34" s="123"/>
      <c r="AE34" s="123"/>
    </row>
    <row r="35" spans="2:31" ht="15" x14ac:dyDescent="0.25">
      <c r="B35" s="94" t="s">
        <v>119</v>
      </c>
      <c r="C35" s="73"/>
      <c r="D35" s="73"/>
      <c r="E35" s="73"/>
      <c r="F35" s="93"/>
      <c r="G35" s="93"/>
      <c r="H35" s="93"/>
      <c r="I35" s="93"/>
      <c r="J35" s="8"/>
      <c r="K35" s="8"/>
      <c r="AD35" s="120" t="s">
        <v>135</v>
      </c>
      <c r="AE35" s="121">
        <f ca="1">0.5*(AE32/AE31+AE31/AE30)</f>
        <v>8.8543548337472124</v>
      </c>
    </row>
    <row r="36" spans="2:31" ht="15" x14ac:dyDescent="0.25">
      <c r="B36" s="73">
        <v>45</v>
      </c>
      <c r="C36" s="73">
        <v>1.7</v>
      </c>
      <c r="D36" s="73"/>
      <c r="E36" s="73">
        <v>8.1999999999999993</v>
      </c>
      <c r="F36" s="93"/>
      <c r="G36" s="93"/>
      <c r="H36" s="93">
        <f>+E36-C36</f>
        <v>6.4999999999999991</v>
      </c>
      <c r="I36" s="93">
        <f>+I35+H36</f>
        <v>6.4999999999999991</v>
      </c>
      <c r="J36" s="8"/>
      <c r="K36" s="8"/>
      <c r="AD36" s="123" t="s">
        <v>137</v>
      </c>
      <c r="AE36" s="121">
        <f>100-AK20</f>
        <v>41.282718780046913</v>
      </c>
    </row>
    <row r="37" spans="2:31" ht="15" x14ac:dyDescent="0.25">
      <c r="B37" s="73">
        <v>32</v>
      </c>
      <c r="C37" s="73">
        <v>1.7</v>
      </c>
      <c r="D37" s="73"/>
      <c r="E37" s="73">
        <v>14.6</v>
      </c>
      <c r="F37" s="93"/>
      <c r="G37" s="93"/>
      <c r="H37" s="93">
        <f t="shared" ref="H37:H40" si="9">+E37-C37</f>
        <v>12.9</v>
      </c>
      <c r="I37" s="93">
        <f t="shared" ref="I37:I40" si="10">+I36+H37</f>
        <v>19.399999999999999</v>
      </c>
      <c r="J37" s="8"/>
      <c r="K37" s="8"/>
      <c r="AD37" s="123" t="s">
        <v>136</v>
      </c>
      <c r="AE37" s="121">
        <f>AK20-AK25</f>
        <v>57.866306129808841</v>
      </c>
    </row>
    <row r="38" spans="2:31" ht="15" x14ac:dyDescent="0.25">
      <c r="B38" s="73">
        <v>22.5</v>
      </c>
      <c r="C38" s="73">
        <v>1.7</v>
      </c>
      <c r="D38" s="73"/>
      <c r="E38" s="73">
        <v>22.3</v>
      </c>
      <c r="F38" s="93"/>
      <c r="G38" s="93"/>
      <c r="H38" s="93">
        <f t="shared" si="9"/>
        <v>20.6</v>
      </c>
      <c r="I38" s="93">
        <f t="shared" si="10"/>
        <v>40</v>
      </c>
      <c r="J38" s="8"/>
      <c r="K38" s="8"/>
      <c r="AD38" s="120" t="s">
        <v>138</v>
      </c>
      <c r="AE38" s="121">
        <f>AK25</f>
        <v>0.85097509014424777</v>
      </c>
    </row>
    <row r="39" spans="2:31" x14ac:dyDescent="0.2">
      <c r="B39" s="73">
        <v>16</v>
      </c>
      <c r="C39" s="73">
        <v>1.7</v>
      </c>
      <c r="D39" s="73"/>
      <c r="E39" s="73">
        <v>20.9</v>
      </c>
      <c r="F39" s="93"/>
      <c r="G39" s="93"/>
      <c r="H39" s="93">
        <f t="shared" si="9"/>
        <v>19.2</v>
      </c>
      <c r="I39" s="93">
        <f t="shared" si="10"/>
        <v>59.2</v>
      </c>
      <c r="J39" s="95"/>
      <c r="K39" s="8"/>
    </row>
    <row r="40" spans="2:31" x14ac:dyDescent="0.2">
      <c r="B40" s="77" t="s">
        <v>120</v>
      </c>
      <c r="C40" s="73">
        <v>67</v>
      </c>
      <c r="D40" s="73"/>
      <c r="E40" s="73">
        <v>420.8</v>
      </c>
      <c r="F40" s="93"/>
      <c r="G40" s="93"/>
      <c r="H40" s="93">
        <f t="shared" si="9"/>
        <v>353.8</v>
      </c>
      <c r="I40" s="93">
        <f t="shared" si="10"/>
        <v>413</v>
      </c>
      <c r="J40" s="8"/>
      <c r="K40" s="8"/>
    </row>
    <row r="41" spans="2:31" x14ac:dyDescent="0.2">
      <c r="B41" s="77" t="s">
        <v>96</v>
      </c>
      <c r="C41" s="73">
        <f>SUM(C36:C40)</f>
        <v>73.8</v>
      </c>
      <c r="D41" s="73"/>
      <c r="E41" s="73">
        <f>SUM(E36:E40)</f>
        <v>486.8</v>
      </c>
      <c r="F41" s="63"/>
      <c r="G41" s="63"/>
      <c r="H41" s="73">
        <f>SUM(H31:H40)</f>
        <v>413</v>
      </c>
      <c r="I41" s="96"/>
      <c r="J41" s="8"/>
      <c r="K41" s="8"/>
    </row>
    <row r="42" spans="2:31" ht="28.5" x14ac:dyDescent="0.2">
      <c r="B42" s="97" t="s">
        <v>121</v>
      </c>
      <c r="C42" s="98">
        <v>1.7</v>
      </c>
      <c r="D42" s="98">
        <v>20.8</v>
      </c>
      <c r="E42" s="99"/>
      <c r="F42" s="100"/>
      <c r="G42" s="101"/>
      <c r="H42" s="102">
        <f>D42-C42</f>
        <v>19.100000000000001</v>
      </c>
      <c r="I42" s="103"/>
      <c r="J42" s="8"/>
      <c r="K42" s="8"/>
    </row>
    <row r="43" spans="2:31" x14ac:dyDescent="0.2">
      <c r="B43" s="104" t="s">
        <v>122</v>
      </c>
      <c r="J43" s="8"/>
      <c r="K43" s="8"/>
    </row>
    <row r="44" spans="2:31" x14ac:dyDescent="0.2">
      <c r="B44" s="104"/>
      <c r="J44" s="8"/>
      <c r="K44" s="8"/>
    </row>
    <row r="45" spans="2:31" ht="15.75" x14ac:dyDescent="0.25">
      <c r="B45" s="134" t="s">
        <v>123</v>
      </c>
      <c r="C45" s="134"/>
      <c r="D45" s="134"/>
      <c r="E45" s="105" t="s">
        <v>124</v>
      </c>
      <c r="F45" s="74"/>
      <c r="G45" s="106" t="s">
        <v>125</v>
      </c>
      <c r="H45" s="107">
        <f>+(E24-H41)/E24</f>
        <v>-4.13323608071978E-3</v>
      </c>
      <c r="I45" s="105"/>
      <c r="J45" s="8"/>
      <c r="K45" s="8"/>
      <c r="R45" s="108"/>
    </row>
    <row r="46" spans="2:31" x14ac:dyDescent="0.2">
      <c r="B46" s="135" t="s">
        <v>126</v>
      </c>
      <c r="C46" s="135"/>
      <c r="D46" s="135"/>
      <c r="E46" s="106">
        <v>411.3</v>
      </c>
    </row>
    <row r="47" spans="2:31" x14ac:dyDescent="0.2">
      <c r="B47" s="82"/>
      <c r="C47" s="82"/>
      <c r="D47" s="82"/>
    </row>
    <row r="48" spans="2:31" x14ac:dyDescent="0.2">
      <c r="B48" s="136" t="s">
        <v>127</v>
      </c>
      <c r="C48" s="136"/>
      <c r="D48" s="136"/>
      <c r="E48" s="136"/>
      <c r="F48" s="136"/>
      <c r="G48" s="136"/>
      <c r="H48" s="136"/>
      <c r="I48" s="136"/>
      <c r="J48" s="136"/>
      <c r="K48" s="109"/>
    </row>
    <row r="49" spans="2:11" x14ac:dyDescent="0.2">
      <c r="B49" s="136"/>
      <c r="C49" s="136"/>
      <c r="D49" s="136"/>
      <c r="E49" s="136"/>
      <c r="F49" s="136"/>
      <c r="G49" s="136"/>
      <c r="H49" s="136"/>
      <c r="I49" s="136"/>
      <c r="J49" s="136"/>
      <c r="K49" s="109"/>
    </row>
    <row r="50" spans="2:11" x14ac:dyDescent="0.2">
      <c r="B50" s="6" t="s">
        <v>128</v>
      </c>
      <c r="C50" s="6" t="s">
        <v>129</v>
      </c>
      <c r="F50" s="1" t="s">
        <v>130</v>
      </c>
      <c r="G50" s="110"/>
      <c r="H50" s="111">
        <v>988</v>
      </c>
      <c r="J50" s="47" t="s">
        <v>131</v>
      </c>
      <c r="K50" s="47" t="s">
        <v>132</v>
      </c>
    </row>
    <row r="51" spans="2:11" x14ac:dyDescent="0.2">
      <c r="H51" s="1">
        <v>989</v>
      </c>
      <c r="K51" s="78"/>
    </row>
    <row r="52" spans="2:11" x14ac:dyDescent="0.2">
      <c r="K52" s="78"/>
    </row>
    <row r="53" spans="2:11" x14ac:dyDescent="0.2">
      <c r="K53" s="78"/>
    </row>
    <row r="54" spans="2:11" x14ac:dyDescent="0.2">
      <c r="K54" s="78"/>
    </row>
    <row r="55" spans="2:11" x14ac:dyDescent="0.2">
      <c r="B55" s="8"/>
      <c r="C55" s="8"/>
    </row>
  </sheetData>
  <mergeCells count="17">
    <mergeCell ref="H23:K23"/>
    <mergeCell ref="AD1:AK1"/>
    <mergeCell ref="B2:K2"/>
    <mergeCell ref="AE6:AH6"/>
    <mergeCell ref="B10:E10"/>
    <mergeCell ref="G16:J16"/>
    <mergeCell ref="H17:K17"/>
    <mergeCell ref="H18:K18"/>
    <mergeCell ref="H19:K19"/>
    <mergeCell ref="H20:K20"/>
    <mergeCell ref="H21:K21"/>
    <mergeCell ref="H22:K22"/>
    <mergeCell ref="H24:K24"/>
    <mergeCell ref="B26:I26"/>
    <mergeCell ref="B45:D45"/>
    <mergeCell ref="B46:D46"/>
    <mergeCell ref="B48:J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A19" workbookViewId="0">
      <selection activeCell="Y25" sqref="Y25:AF25"/>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37" t="s">
        <v>0</v>
      </c>
      <c r="C2" s="137"/>
      <c r="D2" s="137"/>
      <c r="E2" s="137"/>
      <c r="F2" s="137"/>
      <c r="G2" s="137"/>
      <c r="H2" s="137"/>
      <c r="I2" s="137"/>
      <c r="J2" s="137"/>
      <c r="K2" s="137"/>
      <c r="L2" s="137"/>
      <c r="M2" s="137"/>
      <c r="N2" s="137"/>
      <c r="O2" s="137"/>
      <c r="P2" s="137"/>
      <c r="Q2" s="137"/>
      <c r="R2" s="137"/>
      <c r="S2" s="137"/>
      <c r="T2" s="137"/>
      <c r="U2" s="137"/>
      <c r="V2" s="137"/>
      <c r="X2" s="137" t="s">
        <v>0</v>
      </c>
      <c r="Y2" s="137"/>
      <c r="Z2" s="137"/>
      <c r="AA2" s="137"/>
      <c r="AB2" s="137"/>
      <c r="AC2" s="137"/>
      <c r="AD2" s="137"/>
      <c r="AE2" s="137"/>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2</v>
      </c>
      <c r="Z4" s="6"/>
      <c r="AA4" s="1" t="s">
        <v>5</v>
      </c>
      <c r="AB4" s="6" t="s">
        <v>4</v>
      </c>
      <c r="AC4" s="6"/>
      <c r="AD4" s="6"/>
    </row>
    <row r="5" spans="2:33" x14ac:dyDescent="0.2">
      <c r="B5" s="9" t="s">
        <v>6</v>
      </c>
      <c r="C5" s="9"/>
      <c r="D5" s="9" t="s">
        <v>7</v>
      </c>
      <c r="E5" s="9"/>
      <c r="F5" s="9"/>
      <c r="G5" s="9"/>
      <c r="J5" s="1"/>
      <c r="K5" s="9" t="s">
        <v>8</v>
      </c>
      <c r="L5" s="9">
        <v>144.9</v>
      </c>
      <c r="M5" s="9"/>
      <c r="N5" s="9"/>
      <c r="O5" s="9"/>
      <c r="P5" s="9"/>
      <c r="Q5" s="9"/>
      <c r="R5" s="9"/>
      <c r="S5" s="9"/>
      <c r="T5" s="9"/>
      <c r="X5" s="8" t="s">
        <v>6</v>
      </c>
      <c r="Y5" s="9" t="s">
        <v>10</v>
      </c>
      <c r="Z5" s="9"/>
      <c r="AA5" s="1" t="s">
        <v>11</v>
      </c>
      <c r="AB5" s="9" t="s">
        <v>9</v>
      </c>
      <c r="AC5" s="9"/>
      <c r="AD5" s="9"/>
    </row>
    <row r="6" spans="2:33" x14ac:dyDescent="0.2">
      <c r="B6" s="9" t="s">
        <v>12</v>
      </c>
      <c r="C6" s="9"/>
      <c r="D6" s="10">
        <v>41503</v>
      </c>
      <c r="E6" s="11">
        <v>0.63541666666666663</v>
      </c>
      <c r="F6" s="9"/>
      <c r="G6" s="9"/>
      <c r="J6" s="1"/>
      <c r="K6" s="9" t="s">
        <v>13</v>
      </c>
      <c r="L6" s="9"/>
      <c r="M6" s="9" t="s">
        <v>14</v>
      </c>
      <c r="N6" s="9"/>
      <c r="O6" s="9"/>
      <c r="P6" s="9"/>
      <c r="Q6" s="9"/>
      <c r="R6" s="9"/>
      <c r="S6" s="9"/>
      <c r="T6" s="9"/>
      <c r="U6" s="9"/>
      <c r="V6" s="9"/>
      <c r="X6" s="8" t="s">
        <v>12</v>
      </c>
      <c r="Y6" s="10">
        <v>41503</v>
      </c>
      <c r="Z6" s="11">
        <v>0.63541666666666663</v>
      </c>
      <c r="AA6" s="8" t="s">
        <v>15</v>
      </c>
      <c r="AB6" s="9"/>
      <c r="AC6" s="9"/>
      <c r="AD6" s="12"/>
    </row>
    <row r="7" spans="2:33" x14ac:dyDescent="0.2">
      <c r="B7" s="9" t="s">
        <v>15</v>
      </c>
      <c r="C7" s="9"/>
      <c r="D7" s="9"/>
      <c r="E7" s="9"/>
      <c r="F7" s="9"/>
      <c r="G7" s="9"/>
      <c r="J7" s="13"/>
      <c r="K7" s="14" t="s">
        <v>16</v>
      </c>
      <c r="L7" s="14"/>
      <c r="M7" s="15" t="s">
        <v>17</v>
      </c>
      <c r="N7" s="16"/>
      <c r="O7" s="16"/>
      <c r="P7" s="16"/>
      <c r="Q7" s="9"/>
      <c r="R7" s="9"/>
      <c r="S7" s="9"/>
      <c r="T7" s="9"/>
      <c r="U7" s="9"/>
      <c r="V7" s="9"/>
      <c r="X7" s="8"/>
      <c r="Y7" s="8"/>
      <c r="Z7" s="8"/>
      <c r="AA7" s="8" t="s">
        <v>18</v>
      </c>
      <c r="AB7" s="9" t="s">
        <v>19</v>
      </c>
      <c r="AC7" s="9"/>
      <c r="AD7" s="17"/>
    </row>
    <row r="8" spans="2:33" x14ac:dyDescent="0.2">
      <c r="B8" s="9" t="s">
        <v>18</v>
      </c>
      <c r="C8" s="9"/>
      <c r="D8" s="9" t="s">
        <v>19</v>
      </c>
      <c r="E8" s="9"/>
      <c r="F8" s="9"/>
      <c r="G8" s="9"/>
      <c r="K8" s="9"/>
      <c r="L8" s="9"/>
      <c r="M8" s="9"/>
      <c r="N8" s="9"/>
      <c r="O8" s="9"/>
      <c r="P8" s="9"/>
      <c r="Q8" s="9"/>
      <c r="R8" s="9"/>
      <c r="S8" s="9"/>
      <c r="T8" s="9"/>
      <c r="U8" s="9"/>
      <c r="V8" s="9"/>
      <c r="X8" s="8" t="s">
        <v>20</v>
      </c>
      <c r="Y8" s="8"/>
      <c r="Z8" s="8"/>
      <c r="AA8" s="18"/>
      <c r="AB8" s="17"/>
      <c r="AC8" s="17"/>
      <c r="AD8" s="17"/>
    </row>
    <row r="9" spans="2:33" x14ac:dyDescent="0.2">
      <c r="B9" s="9" t="s">
        <v>21</v>
      </c>
      <c r="C9" s="9"/>
      <c r="D9" s="9" t="s">
        <v>22</v>
      </c>
      <c r="E9" s="9"/>
      <c r="F9" s="9"/>
      <c r="G9" s="9"/>
      <c r="H9" s="2"/>
      <c r="I9" s="1"/>
      <c r="J9" s="1"/>
      <c r="K9" s="9"/>
      <c r="L9" s="9"/>
      <c r="M9" s="9"/>
      <c r="N9" s="9"/>
      <c r="O9" s="9"/>
      <c r="P9" s="9"/>
      <c r="Q9" s="9"/>
      <c r="R9" s="9"/>
      <c r="S9" s="9"/>
      <c r="T9" s="9"/>
      <c r="U9" s="9"/>
      <c r="V9" s="9"/>
      <c r="X9" s="6" t="s">
        <v>23</v>
      </c>
      <c r="Y9" s="6"/>
      <c r="Z9" s="6"/>
      <c r="AA9" s="19"/>
      <c r="AB9" s="20"/>
      <c r="AC9" s="20"/>
      <c r="AD9" s="20"/>
      <c r="AE9" s="6"/>
      <c r="AF9" s="6"/>
    </row>
    <row r="10" spans="2:33" s="8" customFormat="1" ht="15.75" x14ac:dyDescent="0.25">
      <c r="B10" s="21"/>
      <c r="C10" s="160"/>
      <c r="D10" s="160"/>
      <c r="E10" s="160"/>
      <c r="F10" s="160"/>
      <c r="G10" s="160"/>
      <c r="H10" s="160"/>
      <c r="I10" s="22"/>
      <c r="J10" s="22"/>
      <c r="K10" s="22"/>
      <c r="L10" s="22"/>
      <c r="N10" s="21"/>
      <c r="X10" s="9" t="s">
        <v>24</v>
      </c>
      <c r="Y10" s="9"/>
      <c r="Z10" s="9"/>
      <c r="AA10" s="14"/>
      <c r="AB10" s="16"/>
      <c r="AC10" s="16"/>
      <c r="AD10" s="16"/>
      <c r="AE10" s="9"/>
      <c r="AF10" s="9"/>
      <c r="AG10" s="1"/>
    </row>
    <row r="11" spans="2:33" s="8" customFormat="1" ht="31.9" thickBot="1" x14ac:dyDescent="0.3">
      <c r="B11" s="23" t="s">
        <v>25</v>
      </c>
      <c r="C11" s="161" t="s">
        <v>26</v>
      </c>
      <c r="D11" s="161"/>
      <c r="E11" s="161"/>
      <c r="F11" s="161"/>
      <c r="G11" s="24" t="s">
        <v>27</v>
      </c>
      <c r="H11" s="24" t="s">
        <v>28</v>
      </c>
      <c r="I11" s="23" t="s">
        <v>25</v>
      </c>
      <c r="J11" s="161" t="s">
        <v>29</v>
      </c>
      <c r="K11" s="161"/>
      <c r="L11" s="161"/>
      <c r="M11" s="161"/>
      <c r="N11" s="24" t="s">
        <v>27</v>
      </c>
      <c r="O11" s="24" t="s">
        <v>28</v>
      </c>
      <c r="P11" s="23" t="s">
        <v>25</v>
      </c>
      <c r="Q11" s="161" t="s">
        <v>30</v>
      </c>
      <c r="R11" s="161"/>
      <c r="S11" s="161"/>
      <c r="T11" s="161"/>
      <c r="U11" s="24" t="s">
        <v>27</v>
      </c>
      <c r="V11" s="24" t="s">
        <v>28</v>
      </c>
      <c r="W11" s="25" t="s">
        <v>31</v>
      </c>
      <c r="X11" s="9" t="s">
        <v>32</v>
      </c>
      <c r="Y11" s="9"/>
      <c r="Z11" s="9"/>
      <c r="AA11" s="14"/>
      <c r="AB11" s="16"/>
      <c r="AC11" s="16"/>
      <c r="AD11" s="16"/>
      <c r="AE11" s="9"/>
      <c r="AF11" s="9"/>
      <c r="AG11" s="1"/>
    </row>
    <row r="12" spans="2:33" s="28" customFormat="1" ht="14.25" customHeight="1" x14ac:dyDescent="0.25">
      <c r="B12" s="113" t="s">
        <v>33</v>
      </c>
      <c r="C12" s="158"/>
      <c r="D12" s="158"/>
      <c r="E12" s="158"/>
      <c r="F12" s="158"/>
      <c r="G12" s="29"/>
      <c r="H12" s="114"/>
      <c r="I12" s="113" t="s">
        <v>33</v>
      </c>
      <c r="J12" s="158"/>
      <c r="K12" s="158"/>
      <c r="L12" s="158"/>
      <c r="M12" s="158"/>
      <c r="N12" s="26">
        <v>12</v>
      </c>
      <c r="O12" s="114">
        <f>+N12</f>
        <v>12</v>
      </c>
      <c r="P12" s="113" t="s">
        <v>33</v>
      </c>
      <c r="Q12" s="158"/>
      <c r="R12" s="158"/>
      <c r="S12" s="158"/>
      <c r="T12" s="158"/>
      <c r="U12" s="29"/>
      <c r="V12" s="114"/>
      <c r="W12" s="115">
        <f>AVERAGE(V12,O12,H12)</f>
        <v>12</v>
      </c>
      <c r="X12" s="9"/>
      <c r="Y12" s="9"/>
      <c r="Z12" s="9"/>
      <c r="AA12" s="14"/>
      <c r="AB12" s="16"/>
      <c r="AC12" s="16"/>
      <c r="AD12" s="16"/>
      <c r="AE12" s="9"/>
      <c r="AF12" s="9"/>
      <c r="AG12" s="1"/>
    </row>
    <row r="13" spans="2:33" s="28" customFormat="1" ht="14.25" customHeight="1" x14ac:dyDescent="0.25">
      <c r="B13" s="113">
        <v>2</v>
      </c>
      <c r="C13" s="158"/>
      <c r="D13" s="158"/>
      <c r="E13" s="158"/>
      <c r="F13" s="158"/>
      <c r="G13" s="29"/>
      <c r="H13" s="114"/>
      <c r="I13" s="113">
        <v>2</v>
      </c>
      <c r="J13" s="158"/>
      <c r="K13" s="158"/>
      <c r="L13" s="158"/>
      <c r="M13" s="158"/>
      <c r="N13" s="30"/>
      <c r="O13" s="114">
        <v>0</v>
      </c>
      <c r="P13" s="113">
        <v>2</v>
      </c>
      <c r="Q13" s="158"/>
      <c r="R13" s="158"/>
      <c r="S13" s="158"/>
      <c r="T13" s="158"/>
      <c r="U13" s="29"/>
      <c r="V13" s="114"/>
      <c r="W13" s="115">
        <f>AVERAGE(V13,O13,H13)</f>
        <v>0</v>
      </c>
      <c r="X13" s="9"/>
      <c r="Y13" s="9"/>
      <c r="Z13" s="9"/>
      <c r="AA13" s="14"/>
      <c r="AB13" s="16"/>
      <c r="AC13" s="16"/>
      <c r="AD13" s="16"/>
      <c r="AE13" s="9"/>
      <c r="AF13" s="9"/>
      <c r="AG13" s="1"/>
    </row>
    <row r="14" spans="2:33" s="28" customFormat="1" ht="14.25" customHeight="1" x14ac:dyDescent="0.25">
      <c r="B14" s="116">
        <v>2.8</v>
      </c>
      <c r="C14" s="158"/>
      <c r="D14" s="158"/>
      <c r="E14" s="158"/>
      <c r="F14" s="158"/>
      <c r="G14" s="29"/>
      <c r="H14" s="114"/>
      <c r="I14" s="116">
        <v>2.8</v>
      </c>
      <c r="J14" s="158"/>
      <c r="K14" s="158"/>
      <c r="L14" s="158"/>
      <c r="M14" s="158"/>
      <c r="N14" s="30"/>
      <c r="O14" s="114">
        <f>100*N13/SUM(N$13:N$28)</f>
        <v>0</v>
      </c>
      <c r="P14" s="116">
        <v>2.8</v>
      </c>
      <c r="Q14" s="158"/>
      <c r="R14" s="158"/>
      <c r="S14" s="158"/>
      <c r="T14" s="158"/>
      <c r="U14" s="29"/>
      <c r="V14" s="114"/>
      <c r="W14" s="115">
        <f t="shared" ref="W14:W28" si="0">AVERAGE(V14,O14,H14)</f>
        <v>0</v>
      </c>
      <c r="X14" s="9"/>
      <c r="Y14" s="9"/>
      <c r="Z14" s="9"/>
      <c r="AA14" s="14"/>
      <c r="AB14" s="16"/>
      <c r="AC14" s="16"/>
      <c r="AD14" s="16"/>
      <c r="AE14" s="9"/>
      <c r="AF14" s="9"/>
      <c r="AG14" s="1"/>
    </row>
    <row r="15" spans="2:33" s="28" customFormat="1" ht="14.25" customHeight="1" x14ac:dyDescent="0.25">
      <c r="B15" s="113">
        <v>4</v>
      </c>
      <c r="C15" s="158"/>
      <c r="D15" s="158"/>
      <c r="E15" s="158"/>
      <c r="F15" s="158"/>
      <c r="G15" s="29"/>
      <c r="H15" s="114"/>
      <c r="I15" s="113">
        <v>4</v>
      </c>
      <c r="J15" s="158"/>
      <c r="K15" s="158"/>
      <c r="L15" s="158"/>
      <c r="M15" s="158"/>
      <c r="N15" s="30"/>
      <c r="O15" s="114">
        <f>100*N14/SUM(N$13:N$28)+O14</f>
        <v>0</v>
      </c>
      <c r="P15" s="113">
        <v>4</v>
      </c>
      <c r="Q15" s="158"/>
      <c r="R15" s="158"/>
      <c r="S15" s="158"/>
      <c r="T15" s="158"/>
      <c r="U15" s="29"/>
      <c r="V15" s="114"/>
      <c r="W15" s="115">
        <f t="shared" si="0"/>
        <v>0</v>
      </c>
      <c r="X15" s="9"/>
      <c r="Y15" s="9"/>
      <c r="Z15" s="9"/>
      <c r="AA15" s="14"/>
      <c r="AB15" s="9"/>
      <c r="AC15" s="9"/>
      <c r="AD15" s="9"/>
      <c r="AE15" s="9"/>
      <c r="AF15" s="9"/>
      <c r="AG15" s="1"/>
    </row>
    <row r="16" spans="2:33" s="28" customFormat="1" ht="18" customHeight="1" x14ac:dyDescent="0.3">
      <c r="B16" s="113">
        <v>5.6</v>
      </c>
      <c r="C16" s="158"/>
      <c r="D16" s="158"/>
      <c r="E16" s="158"/>
      <c r="F16" s="158"/>
      <c r="G16" s="29"/>
      <c r="H16" s="114"/>
      <c r="I16" s="113">
        <v>5.6</v>
      </c>
      <c r="J16" s="158"/>
      <c r="K16" s="158"/>
      <c r="L16" s="158"/>
      <c r="M16" s="158"/>
      <c r="N16" s="30">
        <v>3</v>
      </c>
      <c r="O16" s="114">
        <f t="shared" ref="O16:O28" si="1">100*N15/SUM(N$13:N$28)+O15</f>
        <v>0</v>
      </c>
      <c r="P16" s="113">
        <v>5.6</v>
      </c>
      <c r="Q16" s="158"/>
      <c r="R16" s="158"/>
      <c r="S16" s="158"/>
      <c r="T16" s="158"/>
      <c r="U16" s="29"/>
      <c r="V16" s="114"/>
      <c r="W16" s="115">
        <f t="shared" si="0"/>
        <v>0</v>
      </c>
      <c r="X16" s="31" t="s">
        <v>34</v>
      </c>
      <c r="Y16" s="32"/>
      <c r="Z16" s="32"/>
      <c r="AA16" s="33"/>
      <c r="AB16" s="34"/>
      <c r="AC16" s="34"/>
      <c r="AD16" s="34"/>
      <c r="AE16" s="34"/>
      <c r="AF16" s="34"/>
      <c r="AG16" s="1"/>
    </row>
    <row r="17" spans="2:33" s="28" customFormat="1" ht="14.25" customHeight="1" x14ac:dyDescent="0.25">
      <c r="B17" s="113">
        <v>8</v>
      </c>
      <c r="C17" s="158"/>
      <c r="D17" s="158"/>
      <c r="E17" s="158"/>
      <c r="F17" s="158"/>
      <c r="G17" s="29"/>
      <c r="H17" s="114"/>
      <c r="I17" s="113">
        <v>8</v>
      </c>
      <c r="J17" s="158"/>
      <c r="K17" s="158"/>
      <c r="L17" s="158"/>
      <c r="M17" s="158"/>
      <c r="N17" s="30">
        <v>1</v>
      </c>
      <c r="O17" s="114">
        <f t="shared" si="1"/>
        <v>3</v>
      </c>
      <c r="P17" s="113">
        <v>8</v>
      </c>
      <c r="Q17" s="158"/>
      <c r="R17" s="158"/>
      <c r="S17" s="158"/>
      <c r="T17" s="158"/>
      <c r="U17" s="29"/>
      <c r="V17" s="114"/>
      <c r="W17" s="115">
        <f t="shared" si="0"/>
        <v>3</v>
      </c>
      <c r="X17" s="34" t="s">
        <v>35</v>
      </c>
      <c r="Y17" s="159" t="s">
        <v>36</v>
      </c>
      <c r="Z17" s="159"/>
      <c r="AA17" s="159"/>
      <c r="AB17" s="159"/>
      <c r="AC17" s="159"/>
      <c r="AD17" s="159"/>
      <c r="AE17" s="159"/>
      <c r="AF17" s="159"/>
      <c r="AG17" s="8"/>
    </row>
    <row r="18" spans="2:33" s="28" customFormat="1" ht="14.25" customHeight="1" x14ac:dyDescent="0.25">
      <c r="B18" s="113">
        <v>11</v>
      </c>
      <c r="C18" s="158"/>
      <c r="D18" s="158"/>
      <c r="E18" s="158"/>
      <c r="F18" s="158"/>
      <c r="G18" s="29"/>
      <c r="H18" s="114"/>
      <c r="I18" s="113">
        <v>11</v>
      </c>
      <c r="J18" s="158"/>
      <c r="K18" s="158"/>
      <c r="L18" s="158"/>
      <c r="M18" s="158"/>
      <c r="N18" s="30">
        <v>3</v>
      </c>
      <c r="O18" s="114">
        <f t="shared" si="1"/>
        <v>4</v>
      </c>
      <c r="P18" s="113">
        <v>11</v>
      </c>
      <c r="Q18" s="158"/>
      <c r="R18" s="158"/>
      <c r="S18" s="158"/>
      <c r="T18" s="158"/>
      <c r="U18" s="29"/>
      <c r="V18" s="114"/>
      <c r="W18" s="115">
        <f t="shared" si="0"/>
        <v>4</v>
      </c>
      <c r="X18" s="35">
        <v>980</v>
      </c>
      <c r="Y18" s="151" t="s">
        <v>37</v>
      </c>
      <c r="Z18" s="152"/>
      <c r="AA18" s="152"/>
      <c r="AB18" s="152"/>
      <c r="AC18" s="152"/>
      <c r="AD18" s="152"/>
      <c r="AE18" s="152"/>
      <c r="AF18" s="153"/>
    </row>
    <row r="19" spans="2:33" s="28" customFormat="1" ht="14.25" customHeight="1" x14ac:dyDescent="0.25">
      <c r="B19" s="113">
        <v>16</v>
      </c>
      <c r="C19" s="158"/>
      <c r="D19" s="158"/>
      <c r="E19" s="158"/>
      <c r="F19" s="158"/>
      <c r="G19" s="29"/>
      <c r="H19" s="114"/>
      <c r="I19" s="113">
        <v>16</v>
      </c>
      <c r="J19" s="158"/>
      <c r="K19" s="158"/>
      <c r="L19" s="158"/>
      <c r="M19" s="158"/>
      <c r="N19" s="30">
        <v>6</v>
      </c>
      <c r="O19" s="114">
        <f t="shared" si="1"/>
        <v>7</v>
      </c>
      <c r="P19" s="113">
        <v>16</v>
      </c>
      <c r="Q19" s="158"/>
      <c r="R19" s="158"/>
      <c r="S19" s="158"/>
      <c r="T19" s="158"/>
      <c r="U19" s="29"/>
      <c r="V19" s="114"/>
      <c r="W19" s="115">
        <f t="shared" si="0"/>
        <v>7</v>
      </c>
      <c r="X19" s="35">
        <v>981</v>
      </c>
      <c r="Y19" s="151" t="s">
        <v>38</v>
      </c>
      <c r="Z19" s="152"/>
      <c r="AA19" s="152"/>
      <c r="AB19" s="152"/>
      <c r="AC19" s="152"/>
      <c r="AD19" s="152"/>
      <c r="AE19" s="152"/>
      <c r="AF19" s="153"/>
    </row>
    <row r="20" spans="2:33" s="28" customFormat="1" ht="14.25" customHeight="1" x14ac:dyDescent="0.25">
      <c r="B20" s="113">
        <v>22.5</v>
      </c>
      <c r="C20" s="158"/>
      <c r="D20" s="158"/>
      <c r="E20" s="158"/>
      <c r="F20" s="158"/>
      <c r="G20" s="29"/>
      <c r="H20" s="114"/>
      <c r="I20" s="113">
        <v>22.5</v>
      </c>
      <c r="J20" s="158"/>
      <c r="K20" s="158"/>
      <c r="L20" s="158"/>
      <c r="M20" s="158"/>
      <c r="N20" s="30">
        <v>14</v>
      </c>
      <c r="O20" s="114">
        <f t="shared" si="1"/>
        <v>13</v>
      </c>
      <c r="P20" s="113">
        <v>22.5</v>
      </c>
      <c r="Q20" s="158"/>
      <c r="R20" s="158"/>
      <c r="S20" s="158"/>
      <c r="T20" s="158"/>
      <c r="U20" s="29"/>
      <c r="V20" s="114"/>
      <c r="W20" s="115">
        <f t="shared" si="0"/>
        <v>13</v>
      </c>
      <c r="X20" s="27">
        <v>982</v>
      </c>
      <c r="Y20" s="151" t="s">
        <v>39</v>
      </c>
      <c r="Z20" s="152"/>
      <c r="AA20" s="152"/>
      <c r="AB20" s="152"/>
      <c r="AC20" s="152"/>
      <c r="AD20" s="152"/>
      <c r="AE20" s="152"/>
      <c r="AF20" s="153"/>
    </row>
    <row r="21" spans="2:33" s="28" customFormat="1" ht="14.25" customHeight="1" x14ac:dyDescent="0.25">
      <c r="B21" s="113">
        <v>32</v>
      </c>
      <c r="C21" s="158"/>
      <c r="D21" s="158"/>
      <c r="E21" s="158"/>
      <c r="F21" s="158"/>
      <c r="G21" s="29"/>
      <c r="H21" s="114"/>
      <c r="I21" s="113">
        <v>32</v>
      </c>
      <c r="J21" s="158"/>
      <c r="K21" s="158"/>
      <c r="L21" s="158"/>
      <c r="M21" s="158"/>
      <c r="N21" s="30">
        <v>17</v>
      </c>
      <c r="O21" s="114">
        <f t="shared" si="1"/>
        <v>27</v>
      </c>
      <c r="P21" s="113">
        <v>32</v>
      </c>
      <c r="Q21" s="158"/>
      <c r="R21" s="158"/>
      <c r="S21" s="158"/>
      <c r="T21" s="158"/>
      <c r="U21" s="29"/>
      <c r="V21" s="114"/>
      <c r="W21" s="115">
        <f t="shared" si="0"/>
        <v>27</v>
      </c>
      <c r="X21" s="27">
        <v>983</v>
      </c>
      <c r="Y21" s="151" t="s">
        <v>40</v>
      </c>
      <c r="Z21" s="152"/>
      <c r="AA21" s="152"/>
      <c r="AB21" s="152"/>
      <c r="AC21" s="152"/>
      <c r="AD21" s="152"/>
      <c r="AE21" s="152"/>
      <c r="AF21" s="153"/>
    </row>
    <row r="22" spans="2:33" s="28" customFormat="1" ht="14.25" customHeight="1" x14ac:dyDescent="0.25">
      <c r="B22" s="113">
        <v>45</v>
      </c>
      <c r="C22" s="158"/>
      <c r="D22" s="158"/>
      <c r="E22" s="158"/>
      <c r="F22" s="158"/>
      <c r="G22" s="29"/>
      <c r="H22" s="114"/>
      <c r="I22" s="113">
        <v>45</v>
      </c>
      <c r="J22" s="158"/>
      <c r="K22" s="158"/>
      <c r="L22" s="158"/>
      <c r="M22" s="158"/>
      <c r="N22" s="36">
        <v>21</v>
      </c>
      <c r="O22" s="114">
        <f t="shared" si="1"/>
        <v>44</v>
      </c>
      <c r="P22" s="113">
        <v>45</v>
      </c>
      <c r="Q22" s="158"/>
      <c r="R22" s="158"/>
      <c r="S22" s="158"/>
      <c r="T22" s="158"/>
      <c r="U22" s="29"/>
      <c r="V22" s="114"/>
      <c r="W22" s="115">
        <f t="shared" si="0"/>
        <v>44</v>
      </c>
      <c r="X22" s="27">
        <v>984</v>
      </c>
      <c r="Y22" s="151" t="s">
        <v>41</v>
      </c>
      <c r="Z22" s="152"/>
      <c r="AA22" s="152"/>
      <c r="AB22" s="152"/>
      <c r="AC22" s="152"/>
      <c r="AD22" s="152"/>
      <c r="AE22" s="152"/>
      <c r="AF22" s="153"/>
    </row>
    <row r="23" spans="2:33" s="28" customFormat="1" ht="14.25" customHeight="1" x14ac:dyDescent="0.25">
      <c r="B23" s="117">
        <v>64</v>
      </c>
      <c r="C23" s="158"/>
      <c r="D23" s="158"/>
      <c r="E23" s="158"/>
      <c r="F23" s="158"/>
      <c r="G23" s="29"/>
      <c r="H23" s="114"/>
      <c r="I23" s="117">
        <v>64</v>
      </c>
      <c r="J23" s="158"/>
      <c r="K23" s="158"/>
      <c r="L23" s="158"/>
      <c r="M23" s="158"/>
      <c r="N23" s="37">
        <v>13</v>
      </c>
      <c r="O23" s="114">
        <f t="shared" si="1"/>
        <v>65</v>
      </c>
      <c r="P23" s="117">
        <v>64</v>
      </c>
      <c r="Q23" s="158"/>
      <c r="R23" s="158"/>
      <c r="S23" s="158"/>
      <c r="T23" s="158"/>
      <c r="U23" s="29"/>
      <c r="V23" s="114"/>
      <c r="W23" s="115">
        <f t="shared" si="0"/>
        <v>65</v>
      </c>
      <c r="X23" s="27">
        <v>985</v>
      </c>
      <c r="Y23" s="151" t="s">
        <v>158</v>
      </c>
      <c r="Z23" s="152"/>
      <c r="AA23" s="152"/>
      <c r="AB23" s="152"/>
      <c r="AC23" s="152"/>
      <c r="AD23" s="152"/>
      <c r="AE23" s="152"/>
      <c r="AF23" s="153"/>
    </row>
    <row r="24" spans="2:33" s="28" customFormat="1" ht="14.25" customHeight="1" x14ac:dyDescent="0.25">
      <c r="B24" s="113">
        <v>90</v>
      </c>
      <c r="C24" s="158"/>
      <c r="D24" s="158"/>
      <c r="E24" s="158"/>
      <c r="F24" s="158"/>
      <c r="G24" s="29"/>
      <c r="H24" s="114"/>
      <c r="I24" s="113">
        <v>90</v>
      </c>
      <c r="J24" s="158"/>
      <c r="K24" s="158"/>
      <c r="L24" s="158"/>
      <c r="M24" s="158"/>
      <c r="N24" s="38">
        <v>14</v>
      </c>
      <c r="O24" s="114">
        <f t="shared" si="1"/>
        <v>78</v>
      </c>
      <c r="P24" s="113">
        <v>90</v>
      </c>
      <c r="Q24" s="158"/>
      <c r="R24" s="158"/>
      <c r="S24" s="158"/>
      <c r="T24" s="158"/>
      <c r="U24" s="29"/>
      <c r="V24" s="114"/>
      <c r="W24" s="115">
        <f t="shared" si="0"/>
        <v>78</v>
      </c>
      <c r="X24" s="27">
        <v>986</v>
      </c>
      <c r="Y24" s="151" t="s">
        <v>159</v>
      </c>
      <c r="Z24" s="152"/>
      <c r="AA24" s="152"/>
      <c r="AB24" s="152"/>
      <c r="AC24" s="152"/>
      <c r="AD24" s="152"/>
      <c r="AE24" s="152"/>
      <c r="AF24" s="153"/>
    </row>
    <row r="25" spans="2:33" s="28" customFormat="1" ht="14.25" customHeight="1" x14ac:dyDescent="0.25">
      <c r="B25" s="116">
        <v>128</v>
      </c>
      <c r="C25" s="158"/>
      <c r="D25" s="158"/>
      <c r="E25" s="158"/>
      <c r="F25" s="158"/>
      <c r="G25" s="29"/>
      <c r="H25" s="114"/>
      <c r="I25" s="116">
        <v>128</v>
      </c>
      <c r="J25" s="158"/>
      <c r="K25" s="158"/>
      <c r="L25" s="158"/>
      <c r="M25" s="158"/>
      <c r="N25" s="38">
        <v>6</v>
      </c>
      <c r="O25" s="114">
        <f t="shared" si="1"/>
        <v>92</v>
      </c>
      <c r="P25" s="116">
        <v>128</v>
      </c>
      <c r="Q25" s="158"/>
      <c r="R25" s="158"/>
      <c r="S25" s="158"/>
      <c r="T25" s="158"/>
      <c r="U25" s="29"/>
      <c r="V25" s="114"/>
      <c r="W25" s="115">
        <f t="shared" si="0"/>
        <v>92</v>
      </c>
      <c r="X25" s="27"/>
      <c r="Y25" s="151"/>
      <c r="Z25" s="152"/>
      <c r="AA25" s="152"/>
      <c r="AB25" s="152"/>
      <c r="AC25" s="152"/>
      <c r="AD25" s="152"/>
      <c r="AE25" s="152"/>
      <c r="AF25" s="153"/>
    </row>
    <row r="26" spans="2:33" s="28" customFormat="1" ht="14.25" customHeight="1" x14ac:dyDescent="0.25">
      <c r="B26" s="116">
        <v>180</v>
      </c>
      <c r="C26" s="158"/>
      <c r="D26" s="158"/>
      <c r="E26" s="158"/>
      <c r="F26" s="158"/>
      <c r="G26" s="29"/>
      <c r="H26" s="114"/>
      <c r="I26" s="116">
        <v>180</v>
      </c>
      <c r="J26" s="158"/>
      <c r="K26" s="158"/>
      <c r="L26" s="158"/>
      <c r="M26" s="158"/>
      <c r="N26" s="30">
        <v>2</v>
      </c>
      <c r="O26" s="114">
        <f t="shared" si="1"/>
        <v>98</v>
      </c>
      <c r="P26" s="116">
        <v>180</v>
      </c>
      <c r="Q26" s="158"/>
      <c r="R26" s="158"/>
      <c r="S26" s="158"/>
      <c r="T26" s="158"/>
      <c r="U26" s="29"/>
      <c r="V26" s="114"/>
      <c r="W26" s="115">
        <f t="shared" si="0"/>
        <v>98</v>
      </c>
      <c r="X26" s="27"/>
      <c r="Y26" s="151"/>
      <c r="Z26" s="152"/>
      <c r="AA26" s="152"/>
      <c r="AB26" s="152"/>
      <c r="AC26" s="152"/>
      <c r="AD26" s="152"/>
      <c r="AE26" s="152"/>
      <c r="AF26" s="153"/>
    </row>
    <row r="27" spans="2:33" s="28" customFormat="1" ht="14.25" customHeight="1" x14ac:dyDescent="0.25">
      <c r="B27" s="116">
        <v>256</v>
      </c>
      <c r="C27" s="158"/>
      <c r="D27" s="158"/>
      <c r="E27" s="158"/>
      <c r="F27" s="158"/>
      <c r="G27" s="29"/>
      <c r="H27" s="114"/>
      <c r="I27" s="116">
        <v>256</v>
      </c>
      <c r="J27" s="158"/>
      <c r="K27" s="158"/>
      <c r="L27" s="158"/>
      <c r="M27" s="158"/>
      <c r="N27" s="30"/>
      <c r="O27" s="114">
        <f t="shared" si="1"/>
        <v>100</v>
      </c>
      <c r="P27" s="116">
        <v>256</v>
      </c>
      <c r="Q27" s="158"/>
      <c r="R27" s="158"/>
      <c r="S27" s="158"/>
      <c r="T27" s="158"/>
      <c r="U27" s="29"/>
      <c r="V27" s="114"/>
      <c r="W27" s="115">
        <f t="shared" si="0"/>
        <v>100</v>
      </c>
      <c r="X27" s="27"/>
      <c r="Y27" s="151"/>
      <c r="Z27" s="152"/>
      <c r="AA27" s="152"/>
      <c r="AB27" s="152"/>
      <c r="AC27" s="152"/>
      <c r="AD27" s="152"/>
      <c r="AE27" s="152"/>
      <c r="AF27" s="153"/>
    </row>
    <row r="28" spans="2:33" s="28" customFormat="1" ht="18" thickBot="1" x14ac:dyDescent="0.35">
      <c r="B28" s="116">
        <v>360</v>
      </c>
      <c r="C28" s="158"/>
      <c r="D28" s="158"/>
      <c r="E28" s="158"/>
      <c r="F28" s="158"/>
      <c r="G28" s="29"/>
      <c r="H28" s="114"/>
      <c r="I28" s="116">
        <v>360</v>
      </c>
      <c r="J28" s="158"/>
      <c r="K28" s="158"/>
      <c r="L28" s="158"/>
      <c r="M28" s="158"/>
      <c r="N28" s="39"/>
      <c r="O28" s="114">
        <f t="shared" si="1"/>
        <v>100</v>
      </c>
      <c r="P28" s="116">
        <v>360</v>
      </c>
      <c r="Q28" s="158"/>
      <c r="R28" s="158"/>
      <c r="S28" s="158"/>
      <c r="T28" s="158"/>
      <c r="U28" s="29"/>
      <c r="V28" s="114"/>
      <c r="W28" s="115">
        <f t="shared" si="0"/>
        <v>100</v>
      </c>
      <c r="X28" s="27"/>
      <c r="Y28" s="151"/>
      <c r="Z28" s="152"/>
      <c r="AA28" s="152"/>
      <c r="AB28" s="152"/>
      <c r="AC28" s="152"/>
      <c r="AD28" s="152"/>
      <c r="AE28" s="152"/>
      <c r="AF28" s="153"/>
      <c r="AG28" s="40"/>
    </row>
    <row r="29" spans="2:33" s="28" customFormat="1" ht="13.9" x14ac:dyDescent="0.25">
      <c r="H29" s="41"/>
      <c r="X29" s="27"/>
      <c r="Y29" s="151"/>
      <c r="Z29" s="152"/>
      <c r="AA29" s="152"/>
      <c r="AB29" s="152"/>
      <c r="AC29" s="152"/>
      <c r="AD29" s="152"/>
      <c r="AE29" s="152"/>
      <c r="AF29" s="153"/>
    </row>
    <row r="30" spans="2:33" s="28" customFormat="1" ht="14.45" thickBot="1" x14ac:dyDescent="0.3">
      <c r="C30" s="150" t="s">
        <v>42</v>
      </c>
      <c r="D30" s="150"/>
      <c r="E30" s="150"/>
      <c r="F30" s="150"/>
      <c r="G30" s="150"/>
      <c r="H30" s="150"/>
      <c r="I30" s="42"/>
      <c r="J30" s="150" t="s">
        <v>43</v>
      </c>
      <c r="K30" s="150"/>
      <c r="L30" s="150"/>
      <c r="M30" s="150"/>
      <c r="N30" s="150"/>
      <c r="O30" s="150"/>
      <c r="P30" s="42"/>
      <c r="Q30" s="150" t="s">
        <v>44</v>
      </c>
      <c r="R30" s="150"/>
      <c r="S30" s="150"/>
      <c r="T30" s="150"/>
      <c r="U30" s="150"/>
      <c r="V30" s="150"/>
      <c r="X30" s="27"/>
      <c r="Y30" s="151"/>
      <c r="Z30" s="152"/>
      <c r="AA30" s="152"/>
      <c r="AB30" s="152"/>
      <c r="AC30" s="152"/>
      <c r="AD30" s="152"/>
      <c r="AE30" s="152"/>
      <c r="AF30" s="153"/>
    </row>
    <row r="31" spans="2:33" s="28" customFormat="1" ht="13.9" x14ac:dyDescent="0.25">
      <c r="C31" s="43"/>
      <c r="D31" s="44"/>
      <c r="E31" s="44"/>
      <c r="F31" s="44"/>
      <c r="G31" s="156"/>
      <c r="H31" s="157"/>
      <c r="I31" s="32"/>
      <c r="J31" s="43"/>
      <c r="K31" s="44"/>
      <c r="L31" s="44"/>
      <c r="M31" s="44"/>
      <c r="N31" s="156"/>
      <c r="O31" s="157"/>
      <c r="Q31" s="43"/>
      <c r="R31" s="44"/>
      <c r="S31" s="44"/>
      <c r="T31" s="44"/>
      <c r="U31" s="156"/>
      <c r="V31" s="157"/>
    </row>
    <row r="32" spans="2:33" s="28" customFormat="1" ht="13.9" x14ac:dyDescent="0.25">
      <c r="C32" s="45"/>
      <c r="D32" s="46"/>
      <c r="E32" s="46"/>
      <c r="F32" s="46"/>
      <c r="G32" s="154"/>
      <c r="H32" s="155"/>
      <c r="I32" s="32"/>
      <c r="J32" s="45"/>
      <c r="K32" s="46"/>
      <c r="L32" s="46"/>
      <c r="M32" s="46"/>
      <c r="N32" s="154"/>
      <c r="O32" s="155"/>
      <c r="Q32" s="45"/>
      <c r="R32" s="46"/>
      <c r="S32" s="46"/>
      <c r="T32" s="46"/>
      <c r="U32" s="154"/>
      <c r="V32" s="155"/>
      <c r="X32" s="1"/>
      <c r="AA32" s="1"/>
      <c r="AC32" s="1"/>
      <c r="AD32" s="41"/>
      <c r="AF32" s="47"/>
    </row>
    <row r="33" spans="2:32" s="28" customFormat="1" ht="17.45" x14ac:dyDescent="0.25">
      <c r="C33" s="45"/>
      <c r="D33" s="46"/>
      <c r="E33" s="46"/>
      <c r="F33" s="46"/>
      <c r="G33" s="154"/>
      <c r="H33" s="155"/>
      <c r="I33" s="32"/>
      <c r="J33" s="45"/>
      <c r="K33" s="46"/>
      <c r="L33" s="46"/>
      <c r="M33" s="46"/>
      <c r="N33" s="154"/>
      <c r="O33" s="155"/>
      <c r="Q33" s="45"/>
      <c r="R33" s="46"/>
      <c r="S33" s="46"/>
      <c r="T33" s="46"/>
      <c r="U33" s="154"/>
      <c r="V33" s="155"/>
      <c r="Y33" s="48"/>
      <c r="Z33" s="149"/>
      <c r="AA33" s="149"/>
      <c r="AB33" s="149"/>
      <c r="AC33" s="42"/>
      <c r="AE33" s="17"/>
      <c r="AF33" s="49"/>
    </row>
    <row r="34" spans="2:32" s="28" customFormat="1" ht="18" thickBot="1" x14ac:dyDescent="0.3">
      <c r="C34" s="50"/>
      <c r="D34" s="51"/>
      <c r="E34" s="51"/>
      <c r="F34" s="51"/>
      <c r="G34" s="147"/>
      <c r="H34" s="148"/>
      <c r="I34" s="32"/>
      <c r="J34" s="50"/>
      <c r="K34" s="51"/>
      <c r="L34" s="51"/>
      <c r="M34" s="51"/>
      <c r="N34" s="52"/>
      <c r="O34" s="53"/>
      <c r="Q34" s="50"/>
      <c r="R34" s="51"/>
      <c r="S34" s="51"/>
      <c r="T34" s="51"/>
      <c r="U34" s="147"/>
      <c r="V34" s="148"/>
      <c r="Y34" s="48"/>
      <c r="Z34" s="149"/>
      <c r="AA34" s="149"/>
      <c r="AB34" s="149"/>
      <c r="AC34" s="42"/>
      <c r="AE34" s="17"/>
      <c r="AF34" s="49"/>
    </row>
    <row r="35" spans="2:32" s="28" customFormat="1" ht="13.9" x14ac:dyDescent="0.25">
      <c r="B35" s="1" t="s">
        <v>45</v>
      </c>
      <c r="C35" s="28" t="s">
        <v>46</v>
      </c>
      <c r="G35" s="1"/>
      <c r="H35" s="41"/>
      <c r="K35" s="1" t="s">
        <v>47</v>
      </c>
      <c r="L35" s="1"/>
      <c r="M35" s="1">
        <v>1017</v>
      </c>
      <c r="N35" s="1"/>
      <c r="R35" s="47"/>
      <c r="S35" s="47"/>
      <c r="T35" s="47"/>
      <c r="V35" s="47" t="s">
        <v>157</v>
      </c>
      <c r="X35" s="1" t="s">
        <v>48</v>
      </c>
      <c r="Y35" s="1"/>
      <c r="Z35" s="1"/>
      <c r="AA35" s="1" t="s">
        <v>47</v>
      </c>
      <c r="AB35" s="1">
        <v>1018</v>
      </c>
      <c r="AD35" s="1"/>
      <c r="AE35" s="1"/>
      <c r="AF35" s="47" t="s">
        <v>49</v>
      </c>
    </row>
    <row r="36" spans="2:32" s="28" customFormat="1" ht="13.9" x14ac:dyDescent="0.25">
      <c r="G36" s="32"/>
      <c r="H36" s="54"/>
      <c r="I36" s="32"/>
      <c r="J36" s="32"/>
      <c r="K36" s="32"/>
      <c r="L36" s="32"/>
      <c r="M36" s="32"/>
      <c r="N36" s="33"/>
      <c r="O36" s="34"/>
      <c r="P36" s="34"/>
      <c r="Q36" s="34"/>
      <c r="R36" s="34"/>
      <c r="S36" s="34"/>
      <c r="T36" s="34"/>
      <c r="Z36" s="42"/>
      <c r="AA36" s="55"/>
      <c r="AB36" s="42"/>
      <c r="AD36" s="34"/>
      <c r="AE36" s="34"/>
    </row>
    <row r="37" spans="2:32" s="28" customFormat="1" ht="13.9" x14ac:dyDescent="0.25">
      <c r="H37" s="41"/>
      <c r="Y37" s="34"/>
      <c r="Z37" s="32"/>
      <c r="AA37" s="32"/>
      <c r="AB37" s="33"/>
      <c r="AC37" s="34"/>
      <c r="AD37" s="34"/>
      <c r="AE37" s="34"/>
    </row>
    <row r="38" spans="2:32" s="28" customFormat="1" ht="13.9" x14ac:dyDescent="0.25">
      <c r="E38" s="118"/>
      <c r="F38" s="118"/>
      <c r="G38" s="118"/>
      <c r="H38" s="119"/>
      <c r="I38" s="118"/>
      <c r="J38" s="118"/>
      <c r="K38" s="118"/>
      <c r="L38" s="118"/>
      <c r="M38" s="118"/>
      <c r="N38" s="118"/>
      <c r="O38" s="118"/>
      <c r="P38" s="118"/>
      <c r="Q38" s="118"/>
      <c r="R38" s="118"/>
      <c r="S38" s="118"/>
      <c r="T38" s="118"/>
      <c r="U38" s="118"/>
      <c r="V38" s="118"/>
      <c r="W38" s="118" t="s">
        <v>133</v>
      </c>
      <c r="Y38" s="32"/>
      <c r="Z38" s="32"/>
      <c r="AA38" s="32"/>
      <c r="AB38" s="33"/>
      <c r="AC38" s="34"/>
      <c r="AE38" s="34"/>
    </row>
    <row r="39" spans="2:32" s="28" customFormat="1" ht="14.45" x14ac:dyDescent="0.3">
      <c r="E39" s="120" t="s">
        <v>134</v>
      </c>
      <c r="F39" s="120" t="s">
        <v>25</v>
      </c>
      <c r="G39" s="118"/>
      <c r="H39" s="118"/>
      <c r="I39" s="118"/>
      <c r="J39" s="118"/>
      <c r="K39" s="118"/>
      <c r="L39" s="120" t="s">
        <v>134</v>
      </c>
      <c r="M39" s="120" t="s">
        <v>25</v>
      </c>
      <c r="N39" s="118"/>
      <c r="O39" s="118"/>
      <c r="P39" s="118"/>
      <c r="Q39" s="118"/>
      <c r="R39" s="118"/>
      <c r="S39" s="120" t="s">
        <v>134</v>
      </c>
      <c r="T39" s="120" t="s">
        <v>25</v>
      </c>
      <c r="U39" s="118"/>
      <c r="V39" s="118"/>
      <c r="W39" s="120" t="s">
        <v>25</v>
      </c>
      <c r="Y39" s="32"/>
      <c r="Z39" s="32"/>
      <c r="AA39" s="32"/>
      <c r="AB39" s="33"/>
      <c r="AC39" s="34"/>
      <c r="AE39" s="34"/>
    </row>
    <row r="40" spans="2:32" s="28" customFormat="1" ht="14.45" x14ac:dyDescent="0.3">
      <c r="E40" s="120">
        <v>16</v>
      </c>
      <c r="F40" s="121"/>
      <c r="G40" s="118"/>
      <c r="H40" s="118"/>
      <c r="I40" s="118"/>
      <c r="J40" s="118"/>
      <c r="K40" s="118"/>
      <c r="L40" s="120">
        <v>16</v>
      </c>
      <c r="M40" s="121">
        <f ca="1">10^(FORECAST(L40,LOG(OFFSET(I$13:I$28,MATCH(L40,O$13:O$28,1)-1,0,2)),OFFSET(O$13:O$28,MATCH(L40,O$13:O$28,1)-1,0,2)))</f>
        <v>24.263936435865112</v>
      </c>
      <c r="N40" s="118"/>
      <c r="O40" s="118"/>
      <c r="P40" s="118"/>
      <c r="Q40" s="118"/>
      <c r="R40" s="118"/>
      <c r="S40" s="120">
        <v>16</v>
      </c>
      <c r="T40" s="121"/>
      <c r="U40" s="118"/>
      <c r="V40" s="122"/>
      <c r="W40" s="121">
        <f ca="1">10^(FORECAST(S40,LOG(OFFSET(P$13:P$28,MATCH(S40,W$13:W$28,1)-1,0,2)),OFFSET(W$13:W$28,MATCH(S40,W$13:W$28,1)-1,0,2)))</f>
        <v>24.263936435865112</v>
      </c>
    </row>
    <row r="41" spans="2:32" s="28" customFormat="1" ht="14.45" x14ac:dyDescent="0.3">
      <c r="E41" s="120">
        <v>50</v>
      </c>
      <c r="F41" s="121"/>
      <c r="G41" s="118"/>
      <c r="H41" s="118"/>
      <c r="I41" s="118"/>
      <c r="J41" s="118"/>
      <c r="K41" s="118"/>
      <c r="L41" s="120">
        <v>50</v>
      </c>
      <c r="M41" s="121">
        <f ca="1">10^(FORECAST(L41,LOG(OFFSET(I$13:I$28,MATCH(L41,O$13:O$28,1)-1,0,2)),OFFSET(O$13:O$28,MATCH(L41,O$13:O$28,1)-1,0,2)))</f>
        <v>49.764254495205769</v>
      </c>
      <c r="N41" s="118"/>
      <c r="O41" s="118"/>
      <c r="P41" s="118"/>
      <c r="Q41" s="118"/>
      <c r="R41" s="118"/>
      <c r="S41" s="120">
        <v>50</v>
      </c>
      <c r="T41" s="121"/>
      <c r="U41" s="118"/>
      <c r="V41" s="122"/>
      <c r="W41" s="121">
        <f t="shared" ref="W41:W43" ca="1" si="2">10^(FORECAST(S41,LOG(OFFSET(P$13:P$28,MATCH(S41,W$13:W$28,1)-1,0,2)),OFFSET(W$13:W$28,MATCH(S41,W$13:W$28,1)-1,0,2)))</f>
        <v>49.764254495205769</v>
      </c>
    </row>
    <row r="42" spans="2:32" s="28" customFormat="1" ht="14.45" x14ac:dyDescent="0.3">
      <c r="E42" s="120">
        <v>84</v>
      </c>
      <c r="F42" s="121"/>
      <c r="G42" s="118"/>
      <c r="H42" s="118"/>
      <c r="I42" s="118"/>
      <c r="J42" s="118"/>
      <c r="K42" s="118"/>
      <c r="L42" s="120">
        <v>84</v>
      </c>
      <c r="M42" s="121">
        <f t="shared" ref="M42:M43" ca="1" si="3">10^(FORECAST(L42,LOG(OFFSET(I$13:I$28,MATCH(L42,O$13:O$28,1)-1,0,2)),OFFSET(O$13:O$28,MATCH(L42,O$13:O$28,1)-1,0,2)))</f>
        <v>104.66464202021375</v>
      </c>
      <c r="N42" s="118"/>
      <c r="O42" s="118"/>
      <c r="P42" s="118"/>
      <c r="Q42" s="118"/>
      <c r="R42" s="118"/>
      <c r="S42" s="120">
        <v>84</v>
      </c>
      <c r="T42" s="121"/>
      <c r="U42" s="118"/>
      <c r="V42" s="122"/>
      <c r="W42" s="121">
        <f t="shared" ca="1" si="2"/>
        <v>104.66464202021375</v>
      </c>
    </row>
    <row r="43" spans="2:32" s="28" customFormat="1" ht="14.45" x14ac:dyDescent="0.3">
      <c r="E43" s="120">
        <v>90</v>
      </c>
      <c r="F43" s="121"/>
      <c r="G43" s="118"/>
      <c r="H43" s="118"/>
      <c r="I43" s="118"/>
      <c r="J43" s="118"/>
      <c r="K43" s="118"/>
      <c r="L43" s="120">
        <v>90</v>
      </c>
      <c r="M43" s="121">
        <f t="shared" ca="1" si="3"/>
        <v>121.71874765799417</v>
      </c>
      <c r="N43" s="118"/>
      <c r="O43" s="118"/>
      <c r="P43" s="118"/>
      <c r="Q43" s="118"/>
      <c r="R43" s="118"/>
      <c r="S43" s="120">
        <v>90</v>
      </c>
      <c r="T43" s="121"/>
      <c r="U43" s="118"/>
      <c r="V43" s="122"/>
      <c r="W43" s="121">
        <f t="shared" ca="1" si="2"/>
        <v>121.71874765799417</v>
      </c>
    </row>
    <row r="44" spans="2:32" s="28" customFormat="1" ht="14.45" x14ac:dyDescent="0.3">
      <c r="E44" s="123"/>
      <c r="F44" s="123"/>
      <c r="G44" s="118"/>
      <c r="H44" s="118"/>
      <c r="I44" s="118"/>
      <c r="J44" s="118"/>
      <c r="K44" s="118"/>
      <c r="L44" s="123"/>
      <c r="M44" s="123"/>
      <c r="N44" s="118"/>
      <c r="O44" s="118"/>
      <c r="P44" s="118"/>
      <c r="Q44" s="118"/>
      <c r="R44" s="118"/>
      <c r="S44" s="123"/>
      <c r="T44" s="123"/>
      <c r="U44" s="118"/>
      <c r="V44" s="118"/>
      <c r="W44" s="121"/>
    </row>
    <row r="45" spans="2:32" s="28" customFormat="1" ht="15" x14ac:dyDescent="0.25">
      <c r="E45" s="120" t="s">
        <v>135</v>
      </c>
      <c r="F45" s="121"/>
      <c r="G45" s="118"/>
      <c r="H45" s="118"/>
      <c r="I45" s="118"/>
      <c r="J45" s="118"/>
      <c r="K45" s="118"/>
      <c r="L45" s="120" t="s">
        <v>135</v>
      </c>
      <c r="M45" s="121">
        <f ca="1">0.5*(M42/M41+M41/M40)</f>
        <v>2.0770824041221352</v>
      </c>
      <c r="N45" s="118"/>
      <c r="O45" s="118"/>
      <c r="P45" s="118"/>
      <c r="Q45" s="118"/>
      <c r="R45" s="118"/>
      <c r="S45" s="120" t="s">
        <v>135</v>
      </c>
      <c r="T45" s="121"/>
      <c r="U45" s="118"/>
      <c r="V45" s="118"/>
      <c r="W45" s="121">
        <f ca="1">0.5*(W42/W41+W41/W40)</f>
        <v>2.0770824041221352</v>
      </c>
    </row>
    <row r="46" spans="2:32" s="28" customFormat="1" ht="15" x14ac:dyDescent="0.25">
      <c r="E46" s="123" t="s">
        <v>136</v>
      </c>
      <c r="F46" s="121"/>
      <c r="G46" s="118"/>
      <c r="H46" s="118"/>
      <c r="I46" s="118"/>
      <c r="J46" s="118"/>
      <c r="K46" s="118"/>
      <c r="L46" s="123" t="s">
        <v>136</v>
      </c>
      <c r="M46" s="121">
        <f>O12</f>
        <v>12</v>
      </c>
      <c r="N46" s="118"/>
      <c r="O46" s="118"/>
      <c r="P46" s="118"/>
      <c r="Q46" s="118"/>
      <c r="R46" s="118"/>
      <c r="S46" s="123" t="s">
        <v>136</v>
      </c>
      <c r="T46" s="121"/>
      <c r="U46" s="118"/>
      <c r="V46" s="118"/>
      <c r="W46" s="121">
        <f>W12</f>
        <v>12</v>
      </c>
    </row>
    <row r="47" spans="2:32" s="28" customFormat="1" x14ac:dyDescent="0.2">
      <c r="H47" s="41"/>
      <c r="N47" s="124"/>
    </row>
    <row r="48" spans="2:32" s="28" customFormat="1" x14ac:dyDescent="0.2">
      <c r="H48" s="41"/>
      <c r="N48" s="34"/>
    </row>
    <row r="49" spans="8:14" s="28" customFormat="1" x14ac:dyDescent="0.2">
      <c r="H49" s="41"/>
      <c r="N49" s="34"/>
    </row>
    <row r="50" spans="8:14" s="28" customFormat="1" x14ac:dyDescent="0.2">
      <c r="H50" s="41"/>
      <c r="N50" s="34"/>
    </row>
    <row r="51" spans="8:14" s="28" customFormat="1" x14ac:dyDescent="0.2">
      <c r="H51" s="41"/>
      <c r="N51" s="34"/>
    </row>
    <row r="52" spans="8:14" s="28" customFormat="1" x14ac:dyDescent="0.2">
      <c r="H52" s="41"/>
      <c r="N52" s="34"/>
    </row>
    <row r="53" spans="8:14" s="28" customFormat="1" x14ac:dyDescent="0.2">
      <c r="H53" s="41"/>
      <c r="N53" s="34"/>
    </row>
    <row r="54" spans="8:14" s="28" customFormat="1" x14ac:dyDescent="0.2">
      <c r="H54" s="41"/>
      <c r="N54" s="34"/>
    </row>
    <row r="55" spans="8:14" s="28" customFormat="1" x14ac:dyDescent="0.2">
      <c r="H55" s="41"/>
      <c r="N55" s="34"/>
    </row>
    <row r="56" spans="8:14" s="28" customFormat="1" x14ac:dyDescent="0.2">
      <c r="H56" s="41"/>
      <c r="N56" s="34"/>
    </row>
    <row r="57" spans="8:14" s="28" customFormat="1" x14ac:dyDescent="0.2">
      <c r="H57" s="41"/>
      <c r="N57" s="125"/>
    </row>
    <row r="58" spans="8:14" s="28" customFormat="1" x14ac:dyDescent="0.2">
      <c r="H58" s="41"/>
      <c r="N58" s="126"/>
    </row>
    <row r="59" spans="8:14" s="28" customFormat="1" x14ac:dyDescent="0.2">
      <c r="H59" s="41"/>
      <c r="N59" s="124"/>
    </row>
    <row r="60" spans="8:14" s="28" customFormat="1" x14ac:dyDescent="0.2">
      <c r="H60" s="41"/>
      <c r="N60" s="124"/>
    </row>
    <row r="61" spans="8:14" s="28" customFormat="1" x14ac:dyDescent="0.2">
      <c r="H61" s="41"/>
      <c r="N61" s="34"/>
    </row>
    <row r="62" spans="8:14" s="28" customFormat="1" x14ac:dyDescent="0.2">
      <c r="H62" s="41"/>
      <c r="N62" s="34"/>
    </row>
    <row r="63" spans="8:14" s="28" customFormat="1" x14ac:dyDescent="0.2">
      <c r="H63" s="41"/>
      <c r="N63" s="34"/>
    </row>
    <row r="64" spans="8:14" s="28" customFormat="1" x14ac:dyDescent="0.2">
      <c r="H64" s="41"/>
    </row>
    <row r="65" spans="8:8" s="28" customFormat="1" x14ac:dyDescent="0.2">
      <c r="H65" s="41"/>
    </row>
    <row r="66" spans="8:8" s="28" customFormat="1" x14ac:dyDescent="0.2">
      <c r="H66" s="41"/>
    </row>
    <row r="67" spans="8:8" s="28" customFormat="1" x14ac:dyDescent="0.2">
      <c r="H67" s="41"/>
    </row>
    <row r="68" spans="8:8" s="28" customFormat="1" x14ac:dyDescent="0.2">
      <c r="H68" s="41"/>
    </row>
    <row r="69" spans="8:8" s="28" customFormat="1" x14ac:dyDescent="0.2">
      <c r="H69" s="41"/>
    </row>
    <row r="70" spans="8:8" s="28" customFormat="1" x14ac:dyDescent="0.2">
      <c r="H70" s="41"/>
    </row>
    <row r="71" spans="8:8" s="28" customFormat="1" x14ac:dyDescent="0.2">
      <c r="H71" s="41"/>
    </row>
    <row r="72" spans="8:8" s="28" customFormat="1" x14ac:dyDescent="0.2">
      <c r="H72" s="41"/>
    </row>
    <row r="73" spans="8:8" s="28" customFormat="1" x14ac:dyDescent="0.2">
      <c r="H73" s="41"/>
    </row>
    <row r="74" spans="8:8" s="28" customFormat="1" x14ac:dyDescent="0.2">
      <c r="H74" s="41"/>
    </row>
    <row r="75" spans="8:8" s="28" customFormat="1" x14ac:dyDescent="0.2">
      <c r="H75" s="41"/>
    </row>
    <row r="76" spans="8:8" s="28" customFormat="1" x14ac:dyDescent="0.2">
      <c r="H76" s="41"/>
    </row>
    <row r="77" spans="8:8" s="28" customFormat="1" x14ac:dyDescent="0.2">
      <c r="H77" s="41"/>
    </row>
    <row r="78" spans="8:8" s="28" customFormat="1" x14ac:dyDescent="0.2">
      <c r="H78" s="41"/>
    </row>
    <row r="79" spans="8:8" s="28" customFormat="1" x14ac:dyDescent="0.2">
      <c r="H79" s="41"/>
    </row>
    <row r="80" spans="8:8" s="28" customFormat="1" x14ac:dyDescent="0.2">
      <c r="H80" s="41"/>
    </row>
    <row r="81" spans="8:8" s="28" customFormat="1" x14ac:dyDescent="0.2">
      <c r="H81" s="41"/>
    </row>
    <row r="82" spans="8:8" s="28" customFormat="1" x14ac:dyDescent="0.2">
      <c r="H82" s="41"/>
    </row>
    <row r="83" spans="8:8" s="28" customFormat="1" x14ac:dyDescent="0.2">
      <c r="H83" s="41"/>
    </row>
    <row r="84" spans="8:8" s="28" customFormat="1" x14ac:dyDescent="0.2">
      <c r="H84" s="41"/>
    </row>
    <row r="85" spans="8:8" s="28" customFormat="1" x14ac:dyDescent="0.2">
      <c r="H85" s="41"/>
    </row>
    <row r="86" spans="8:8" s="28" customFormat="1" x14ac:dyDescent="0.2">
      <c r="H86" s="41"/>
    </row>
    <row r="87" spans="8:8" s="28" customFormat="1" x14ac:dyDescent="0.2">
      <c r="H87" s="41"/>
    </row>
    <row r="88" spans="8:8" s="28" customFormat="1" x14ac:dyDescent="0.2">
      <c r="H88" s="41"/>
    </row>
    <row r="89" spans="8:8" s="28" customFormat="1" x14ac:dyDescent="0.2">
      <c r="H89" s="41"/>
    </row>
    <row r="90" spans="8:8" s="28" customFormat="1" x14ac:dyDescent="0.2">
      <c r="H90" s="41"/>
    </row>
    <row r="91" spans="8:8" s="28" customFormat="1" x14ac:dyDescent="0.2">
      <c r="H91" s="41"/>
    </row>
    <row r="92" spans="8:8" s="28" customFormat="1" x14ac:dyDescent="0.2">
      <c r="H92" s="41"/>
    </row>
    <row r="93" spans="8:8" s="28" customFormat="1" x14ac:dyDescent="0.2">
      <c r="H93" s="41"/>
    </row>
    <row r="94" spans="8:8" s="28" customFormat="1" x14ac:dyDescent="0.2">
      <c r="H94" s="41"/>
    </row>
    <row r="95" spans="8:8" s="28" customFormat="1" x14ac:dyDescent="0.2">
      <c r="H95" s="41"/>
    </row>
    <row r="96" spans="8:8" s="28" customFormat="1" x14ac:dyDescent="0.2">
      <c r="H96" s="41"/>
    </row>
    <row r="97" spans="8:33" s="28" customFormat="1" x14ac:dyDescent="0.2">
      <c r="H97" s="41"/>
    </row>
    <row r="98" spans="8:33" x14ac:dyDescent="0.2">
      <c r="X98" s="28"/>
      <c r="Y98" s="28"/>
      <c r="Z98" s="28"/>
      <c r="AA98" s="28"/>
      <c r="AB98" s="28"/>
      <c r="AC98" s="28"/>
      <c r="AD98" s="28"/>
      <c r="AE98" s="28"/>
      <c r="AF98" s="28"/>
      <c r="AG98" s="28"/>
    </row>
    <row r="99" spans="8:33" x14ac:dyDescent="0.2">
      <c r="X99" s="28"/>
      <c r="Y99" s="28"/>
      <c r="Z99" s="28"/>
      <c r="AA99" s="28"/>
      <c r="AB99" s="28"/>
      <c r="AC99" s="28"/>
      <c r="AD99" s="28"/>
      <c r="AE99" s="28"/>
      <c r="AF99" s="28"/>
      <c r="AG99" s="28"/>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H8" sqref="H8"/>
    </sheetView>
  </sheetViews>
  <sheetFormatPr defaultRowHeight="15" x14ac:dyDescent="0.25"/>
  <sheetData>
    <row r="6" spans="3:8" x14ac:dyDescent="0.3">
      <c r="C6" s="123"/>
      <c r="D6" s="162" t="s">
        <v>139</v>
      </c>
      <c r="E6" s="162"/>
      <c r="F6" s="162"/>
      <c r="G6" s="162"/>
      <c r="H6" s="120" t="s">
        <v>140</v>
      </c>
    </row>
    <row r="7" spans="3:8" x14ac:dyDescent="0.3">
      <c r="C7" s="123"/>
      <c r="D7" s="120" t="s">
        <v>26</v>
      </c>
      <c r="E7" s="120" t="s">
        <v>29</v>
      </c>
      <c r="F7" s="120" t="s">
        <v>30</v>
      </c>
      <c r="G7" s="120" t="s">
        <v>141</v>
      </c>
      <c r="H7" s="120" t="s">
        <v>142</v>
      </c>
    </row>
    <row r="8" spans="3:8" x14ac:dyDescent="0.3">
      <c r="C8" s="123" t="s">
        <v>143</v>
      </c>
      <c r="D8" s="121"/>
      <c r="E8" s="121">
        <f ca="1">+Surface!M40</f>
        <v>24.263936435865112</v>
      </c>
      <c r="F8" s="121"/>
      <c r="G8" s="121">
        <f ca="1">+Surface!W40</f>
        <v>24.263936435865112</v>
      </c>
      <c r="H8" s="121">
        <f ca="1">+SubS!AE30</f>
        <v>0.30251136826704034</v>
      </c>
    </row>
    <row r="9" spans="3:8" x14ac:dyDescent="0.3">
      <c r="C9" s="123" t="s">
        <v>144</v>
      </c>
      <c r="D9" s="121"/>
      <c r="E9" s="121">
        <f ca="1">+Surface!M41</f>
        <v>49.764254495205769</v>
      </c>
      <c r="F9" s="121"/>
      <c r="G9" s="121">
        <f ca="1">+Surface!W41</f>
        <v>49.764254495205769</v>
      </c>
      <c r="H9" s="121">
        <f ca="1">+SubS!AE31</f>
        <v>1.0487994018921576</v>
      </c>
    </row>
    <row r="10" spans="3:8" x14ac:dyDescent="0.3">
      <c r="C10" s="123" t="s">
        <v>145</v>
      </c>
      <c r="D10" s="121"/>
      <c r="E10" s="121">
        <f ca="1">+Surface!M42</f>
        <v>104.66464202021375</v>
      </c>
      <c r="F10" s="121"/>
      <c r="G10" s="121">
        <f ca="1">+Surface!W42</f>
        <v>104.66464202021375</v>
      </c>
      <c r="H10" s="121">
        <f ca="1">+SubS!AE32</f>
        <v>14.936722624724871</v>
      </c>
    </row>
    <row r="11" spans="3:8" x14ac:dyDescent="0.3">
      <c r="C11" s="123" t="s">
        <v>146</v>
      </c>
      <c r="D11" s="121"/>
      <c r="E11" s="121">
        <f ca="1">+Surface!M43</f>
        <v>121.71874765799417</v>
      </c>
      <c r="F11" s="121"/>
      <c r="G11" s="121">
        <f ca="1">+Surface!W43</f>
        <v>121.71874765799417</v>
      </c>
      <c r="H11" s="121">
        <f ca="1">+SubS!AE33</f>
        <v>22.606081247592513</v>
      </c>
    </row>
    <row r="12" spans="3:8" x14ac:dyDescent="0.3">
      <c r="C12" s="123"/>
      <c r="D12" s="121"/>
      <c r="E12" s="121"/>
      <c r="F12" s="121"/>
      <c r="G12" s="121"/>
      <c r="H12" s="121"/>
    </row>
    <row r="13" spans="3:8" x14ac:dyDescent="0.3">
      <c r="C13" s="123" t="s">
        <v>147</v>
      </c>
      <c r="D13" s="121"/>
      <c r="E13" s="121">
        <f ca="1">+Surface!M45</f>
        <v>2.0770824041221352</v>
      </c>
      <c r="F13" s="121"/>
      <c r="G13" s="121">
        <f ca="1">+Surface!W45</f>
        <v>2.0770824041221352</v>
      </c>
      <c r="H13" s="121">
        <f ca="1">+SubS!AE35</f>
        <v>8.8543548337472124</v>
      </c>
    </row>
    <row r="14" spans="3:8" x14ac:dyDescent="0.3">
      <c r="C14" s="123" t="s">
        <v>148</v>
      </c>
      <c r="D14" s="121"/>
      <c r="E14" s="121">
        <f>+Surface!M46</f>
        <v>12</v>
      </c>
      <c r="F14" s="121"/>
      <c r="G14" s="121">
        <f>+Surface!W46</f>
        <v>12</v>
      </c>
      <c r="H14" s="121"/>
    </row>
    <row r="15" spans="3:8" x14ac:dyDescent="0.3">
      <c r="C15" s="123"/>
      <c r="D15" s="123"/>
      <c r="E15" s="123"/>
      <c r="F15" s="123"/>
      <c r="G15" s="123"/>
      <c r="H15" s="123"/>
    </row>
    <row r="16" spans="3:8" x14ac:dyDescent="0.3">
      <c r="C16" s="123" t="s">
        <v>149</v>
      </c>
      <c r="D16" s="123"/>
      <c r="E16" s="123"/>
      <c r="F16" s="123"/>
      <c r="G16" s="123"/>
      <c r="H16" s="121">
        <f>+SubS!AE36</f>
        <v>41.282718780046913</v>
      </c>
    </row>
    <row r="17" spans="3:8" x14ac:dyDescent="0.3">
      <c r="C17" s="123" t="s">
        <v>150</v>
      </c>
      <c r="D17" s="123"/>
      <c r="E17" s="123"/>
      <c r="F17" s="123"/>
      <c r="G17" s="123"/>
      <c r="H17" s="121">
        <f>+SubS!AE37</f>
        <v>57.866306129808841</v>
      </c>
    </row>
    <row r="18" spans="3:8" x14ac:dyDescent="0.3">
      <c r="C18" s="123" t="s">
        <v>151</v>
      </c>
      <c r="D18" s="123"/>
      <c r="E18" s="123"/>
      <c r="F18" s="123"/>
      <c r="G18" s="123"/>
      <c r="H18" s="121">
        <f>+SubS!AE38</f>
        <v>0.85097509014424777</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D18" sqref="D18"/>
    </sheetView>
  </sheetViews>
  <sheetFormatPr defaultRowHeight="15" x14ac:dyDescent="0.25"/>
  <sheetData>
    <row r="1" spans="1:1" x14ac:dyDescent="0.25">
      <c r="A1" s="131" t="s">
        <v>152</v>
      </c>
    </row>
    <row r="2" spans="1:1" x14ac:dyDescent="0.25">
      <c r="A2" s="131"/>
    </row>
    <row r="3" spans="1:1" x14ac:dyDescent="0.25">
      <c r="A3" s="131" t="s">
        <v>155</v>
      </c>
    </row>
    <row r="4" spans="1:1" x14ac:dyDescent="0.25">
      <c r="A4" s="131"/>
    </row>
    <row r="5" spans="1:1" x14ac:dyDescent="0.25">
      <c r="A5" s="131" t="s">
        <v>156</v>
      </c>
    </row>
    <row r="6" spans="1:1" x14ac:dyDescent="0.25">
      <c r="A6" s="131"/>
    </row>
    <row r="7" spans="1:1" x14ac:dyDescent="0.25">
      <c r="A7" s="131" t="s">
        <v>153</v>
      </c>
    </row>
    <row r="8" spans="1:1" x14ac:dyDescent="0.25">
      <c r="A8" s="131"/>
    </row>
    <row r="9" spans="1:1" x14ac:dyDescent="0.25">
      <c r="A9" s="131"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 </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2013-10-01T21:33:41Z</dcterms:created>
  <dcterms:modified xsi:type="dcterms:W3CDTF">2014-01-22T00:38:38Z</dcterms:modified>
</cp:coreProperties>
</file>